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488" tabRatio="763" firstSheet="5" activeTab="12"/>
  </bookViews>
  <sheets>
    <sheet name="2018年12月工资表" sheetId="1" r:id="rId1"/>
    <sheet name="2019年1月工资表" sheetId="2" r:id="rId2"/>
    <sheet name="2019年2月工资表" sheetId="3" r:id="rId3"/>
    <sheet name="2019年3月工资表" sheetId="4" r:id="rId4"/>
    <sheet name="2019年4月工资表" sheetId="5" r:id="rId5"/>
    <sheet name="2019年5月工资表" sheetId="6" r:id="rId6"/>
    <sheet name="2019年6月工资表" sheetId="7" r:id="rId7"/>
    <sheet name="2019年7月工资表" sheetId="8" r:id="rId8"/>
    <sheet name="2019年8月工资表" sheetId="9" r:id="rId9"/>
    <sheet name="2019年9月工资表" sheetId="10" r:id="rId10"/>
    <sheet name="2019年10月工资表" sheetId="11" r:id="rId11"/>
    <sheet name="2019年11月工资表" sheetId="12" r:id="rId12"/>
    <sheet name="壹人事电子工资条" sheetId="13" r:id="rId13"/>
  </sheets>
  <definedNames/>
  <calcPr fullCalcOnLoad="1"/>
</workbook>
</file>

<file path=xl/sharedStrings.xml><?xml version="1.0" encoding="utf-8"?>
<sst xmlns="http://schemas.openxmlformats.org/spreadsheetml/2006/main" count="953" uniqueCount="106">
  <si>
    <t>开发区人才服务有限责任公司2018年12月工资表（126中）</t>
  </si>
  <si>
    <t>序号</t>
  </si>
  <si>
    <t>工号</t>
  </si>
  <si>
    <t>姓名</t>
  </si>
  <si>
    <t>身份证号码</t>
  </si>
  <si>
    <t>工资卡号</t>
  </si>
  <si>
    <t>应出勤天数</t>
  </si>
  <si>
    <t>实际出勤天数</t>
  </si>
  <si>
    <t>事假天数</t>
  </si>
  <si>
    <t>病假天数</t>
  </si>
  <si>
    <t>带薪假</t>
  </si>
  <si>
    <t>考勤工资</t>
  </si>
  <si>
    <t>应扣/代扣工资</t>
  </si>
  <si>
    <t>其他扣款项</t>
  </si>
  <si>
    <t>专项扣除</t>
  </si>
  <si>
    <t>其他扣除（个人承担部分）</t>
  </si>
  <si>
    <t>专项附加扣除</t>
  </si>
  <si>
    <t>税前工资</t>
  </si>
  <si>
    <t>应纳所得税额</t>
  </si>
  <si>
    <t>应发工资</t>
  </si>
  <si>
    <t>借支</t>
  </si>
  <si>
    <t>实发工资</t>
  </si>
  <si>
    <t>个人签名确认</t>
  </si>
  <si>
    <t>工资标准</t>
  </si>
  <si>
    <t>加班费</t>
  </si>
  <si>
    <t>工龄
津贴</t>
  </si>
  <si>
    <t>补发</t>
  </si>
  <si>
    <t>交通补助</t>
  </si>
  <si>
    <t>工作日加班</t>
  </si>
  <si>
    <t>周末加班费</t>
  </si>
  <si>
    <t>节假日加班</t>
  </si>
  <si>
    <t>合计</t>
  </si>
  <si>
    <t>事假</t>
  </si>
  <si>
    <t>病假</t>
  </si>
  <si>
    <t>迟到/早退扣款</t>
  </si>
  <si>
    <t>罚款</t>
  </si>
  <si>
    <t>其他</t>
  </si>
  <si>
    <t>养老保险</t>
  </si>
  <si>
    <t>医疗保险</t>
  </si>
  <si>
    <t>失业保险</t>
  </si>
  <si>
    <t>住房公积金</t>
  </si>
  <si>
    <t>税优型健康险</t>
  </si>
  <si>
    <t>税优型养老险</t>
  </si>
  <si>
    <t>企业年金</t>
  </si>
  <si>
    <t>子女教育</t>
  </si>
  <si>
    <t>继续教育</t>
  </si>
  <si>
    <t>房贷利息</t>
  </si>
  <si>
    <t>房租</t>
  </si>
  <si>
    <t>赡养父母</t>
  </si>
  <si>
    <t>本月</t>
  </si>
  <si>
    <t>累计</t>
  </si>
  <si>
    <t>本月应缴</t>
  </si>
  <si>
    <t>累计应缴</t>
  </si>
  <si>
    <t>已预缴</t>
  </si>
  <si>
    <t>大病险0.5%</t>
  </si>
  <si>
    <t>工会
会费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</si>
  <si>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</si>
  <si>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</si>
  <si>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</si>
  <si>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</si>
  <si>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</si>
  <si>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</si>
  <si>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</si>
  <si>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</si>
  <si>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</si>
  <si>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</si>
  <si>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</si>
  <si>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</si>
  <si>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</si>
  <si>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</si>
  <si>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</si>
  <si>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</si>
  <si>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</si>
  <si>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</si>
  <si>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说明：
1.表头项目可根据各司实际情况删减，但注意1—12月工资表如要增减表头项目，12张表要同时增减，避免因增列导致计算公式失效；
2.个税计算公式简单易懂，可自行调整增减项。但要切记不可删除任意月份的表格，否则将会影响应纳所得税额公式的计算；
3.新税法实施首年发生的大病医疗支出，要在2020年才能办理；
4.享受大病医疗专项附加扣除的纳税人，由其在次年3月1日至6月30日内，自行向汇缴地主管税务机关办理汇算清缴申报时扣除。</t>
  </si>
  <si>
    <t>开发区人才服务有限责任公司2019年1月工资表（126中）</t>
  </si>
  <si>
    <t>岗位津贴</t>
  </si>
  <si>
    <t>XXXXX有限责任公司XXX年XXX月工资表</t>
  </si>
  <si>
    <t>应发
工资</t>
  </si>
  <si>
    <t>备注</t>
  </si>
  <si>
    <t>养老保险8%</t>
  </si>
  <si>
    <t>医疗保险2%</t>
  </si>
  <si>
    <t>失业保险0.5%</t>
  </si>
  <si>
    <t>社保
合计</t>
  </si>
  <si>
    <t>领导审批：                                                财务审核：                                                                              业务审核：                               制表</t>
  </si>
  <si>
    <t>2019年5月xx公司员工工资表</t>
  </si>
  <si>
    <t>部门</t>
  </si>
  <si>
    <t>基本工资</t>
  </si>
  <si>
    <t>绩效奖金</t>
  </si>
  <si>
    <t>岗位补贴</t>
  </si>
  <si>
    <t>住房补助</t>
  </si>
  <si>
    <t>延时加班费</t>
  </si>
  <si>
    <t>全勤奖</t>
  </si>
  <si>
    <t>xxx</t>
  </si>
  <si>
    <t>张三</t>
  </si>
  <si>
    <t>110105198809085214</t>
  </si>
  <si>
    <t>2019年6月xx公司员工工资表</t>
  </si>
  <si>
    <t>2019年7月xx公司员工工资表</t>
  </si>
  <si>
    <t>2019年8月xx公司员工工资表</t>
  </si>
  <si>
    <t>2019年9月xx公司员工工资表</t>
  </si>
  <si>
    <t>2019年10月xx公司员工工资表</t>
  </si>
  <si>
    <t>2019年11月xx公司员工工资表</t>
  </si>
  <si>
    <t>2019年12月xx公司员工工资表</t>
  </si>
  <si>
    <t>壹人事工资条—工资条1分钟群发，工资明细，井井有条</t>
  </si>
  <si>
    <r>
      <t>壹人事电子工资条，20人以下的企业</t>
    </r>
    <r>
      <rPr>
        <b/>
        <sz val="16"/>
        <color indexed="10"/>
        <rFont val="宋体"/>
        <family val="0"/>
      </rPr>
      <t>永久免费使用</t>
    </r>
    <r>
      <rPr>
        <sz val="14"/>
        <color indexed="10"/>
        <rFont val="宋体"/>
        <family val="0"/>
      </rPr>
      <t>。所有企业免费试用一个月。</t>
    </r>
  </si>
  <si>
    <t>立即试用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</si>
</sst>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63"/>
      <name val="微软雅黑"/>
      <family val="2"/>
    </font>
    <font>
      <sz val="14"/>
      <color indexed="10"/>
      <name val="宋体"/>
      <family val="0"/>
    </font>
    <font>
      <sz val="11"/>
      <color indexed="10"/>
      <name val="宋体"/>
      <family val="0"/>
    </font>
    <font>
      <u val="single"/>
      <sz val="20"/>
      <color indexed="10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微软雅黑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b/>
      <sz val="14"/>
      <color rgb="FF333333"/>
      <name val="微软雅黑"/>
      <family val="2"/>
    </font>
    <font>
      <sz val="14"/>
      <color rgb="FFC00000"/>
      <name val="Calibri"/>
      <family val="0"/>
    </font>
    <font>
      <u val="single"/>
      <sz val="20"/>
      <color rgb="FFC00000"/>
      <name val="Calibri"/>
      <family val="0"/>
    </font>
    <font>
      <u val="single"/>
      <sz val="11"/>
      <color rgb="FFC000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3" fillId="33" borderId="0" xfId="24" applyFont="1" applyFill="1" applyAlignment="1">
      <alignment horizontal="center" vertical="center"/>
    </xf>
    <xf numFmtId="0" fontId="54" fillId="33" borderId="0" xfId="24" applyFont="1" applyFill="1" applyAlignment="1">
      <alignment horizontal="center" vertical="center"/>
    </xf>
    <xf numFmtId="0" fontId="36" fillId="0" borderId="0" xfId="24" applyFont="1" applyAlignment="1">
      <alignment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56" fillId="0" borderId="9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176" fontId="57" fillId="0" borderId="16" xfId="0" applyNumberFormat="1" applyFont="1" applyBorder="1" applyAlignment="1">
      <alignment horizontal="left" vertical="center" wrapText="1"/>
    </xf>
    <xf numFmtId="176" fontId="55" fillId="0" borderId="0" xfId="0" applyNumberFormat="1" applyFont="1" applyAlignment="1">
      <alignment horizontal="center" vertical="center" wrapText="1"/>
    </xf>
    <xf numFmtId="176" fontId="55" fillId="0" borderId="13" xfId="0" applyNumberFormat="1" applyFont="1" applyBorder="1" applyAlignment="1">
      <alignment horizontal="center" vertical="center" wrapText="1"/>
    </xf>
    <xf numFmtId="176" fontId="55" fillId="0" borderId="14" xfId="0" applyNumberFormat="1" applyFont="1" applyBorder="1" applyAlignment="1">
      <alignment horizontal="center" vertical="center" wrapText="1"/>
    </xf>
    <xf numFmtId="176" fontId="55" fillId="0" borderId="15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 shrinkToFit="1"/>
    </xf>
    <xf numFmtId="177" fontId="11" fillId="0" borderId="10" xfId="0" applyNumberFormat="1" applyFont="1" applyFill="1" applyBorder="1" applyAlignment="1">
      <alignment horizontal="center" vertical="center" shrinkToFit="1"/>
    </xf>
    <xf numFmtId="176" fontId="55" fillId="0" borderId="16" xfId="0" applyNumberFormat="1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176" fontId="8" fillId="0" borderId="10" xfId="0" applyNumberFormat="1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0,0_x000d__x000a_NA_x000d__x000a_ 12_7月(通泰)工资发放表(" xfId="63"/>
    <cellStyle name="常规 2" xfId="64"/>
    <cellStyle name="超链接 2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200025</xdr:colOff>
      <xdr:row>22</xdr:row>
      <xdr:rowOff>95250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78771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171450</xdr:rowOff>
    </xdr:from>
    <xdr:to>
      <xdr:col>13</xdr:col>
      <xdr:colOff>257175</xdr:colOff>
      <xdr:row>40</xdr:row>
      <xdr:rowOff>28575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79343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152400</xdr:rowOff>
    </xdr:from>
    <xdr:to>
      <xdr:col>13</xdr:col>
      <xdr:colOff>342900</xdr:colOff>
      <xdr:row>61</xdr:row>
      <xdr:rowOff>142875</xdr:rowOff>
    </xdr:to>
    <xdr:pic>
      <xdr:nvPicPr>
        <xdr:cNvPr id="3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020175"/>
          <a:ext cx="80200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13</xdr:col>
      <xdr:colOff>419100</xdr:colOff>
      <xdr:row>80</xdr:row>
      <xdr:rowOff>85725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868275"/>
          <a:ext cx="80962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user.1renshi.com/Account/Login" TargetMode="External" /><Relationship Id="rId2" Type="http://schemas.openxmlformats.org/officeDocument/2006/relationships/hyperlink" Target="https://user.1renshi.com/Account/Login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U24"/>
  <sheetViews>
    <sheetView workbookViewId="0" topLeftCell="A1">
      <pane xSplit="4" ySplit="3" topLeftCell="AB4" activePane="bottomRight" state="frozen"/>
      <selection pane="bottomRight" activeCell="AU4" sqref="AU4:AV6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20.421875" style="8" customWidth="1"/>
    <col min="5" max="5" width="21.421875" style="8" customWidth="1"/>
    <col min="6" max="9" width="5.140625" style="8" hidden="1" customWidth="1"/>
    <col min="10" max="10" width="4.8515625" style="8" hidden="1" customWidth="1"/>
    <col min="11" max="11" width="10.421875" style="26" customWidth="1"/>
    <col min="12" max="12" width="9.421875" style="26" customWidth="1"/>
    <col min="13" max="14" width="8.421875" style="26" customWidth="1"/>
    <col min="15" max="17" width="8.421875" style="26" hidden="1" customWidth="1"/>
    <col min="18" max="18" width="7.00390625" style="26" hidden="1" customWidth="1"/>
    <col min="19" max="19" width="10.421875" style="26" customWidth="1"/>
    <col min="20" max="22" width="8.421875" style="26" customWidth="1"/>
    <col min="23" max="23" width="8.140625" style="26" hidden="1" customWidth="1"/>
    <col min="24" max="26" width="6.421875" style="26" hidden="1" customWidth="1"/>
    <col min="27" max="27" width="8.421875" style="26" customWidth="1"/>
    <col min="28" max="28" width="7.7109375" style="26" customWidth="1"/>
    <col min="29" max="29" width="7.8515625" style="26" customWidth="1"/>
    <col min="30" max="30" width="7.00390625" style="26" customWidth="1"/>
    <col min="31" max="31" width="8.421875" style="26" customWidth="1"/>
    <col min="32" max="33" width="7.00390625" style="26" hidden="1" customWidth="1"/>
    <col min="34" max="34" width="9.140625" style="26" hidden="1" customWidth="1"/>
    <col min="35" max="35" width="6.421875" style="26" hidden="1" customWidth="1"/>
    <col min="36" max="41" width="6.421875" style="26" customWidth="1"/>
    <col min="42" max="43" width="10.421875" style="26" customWidth="1"/>
    <col min="44" max="45" width="9.140625" style="26" customWidth="1"/>
    <col min="46" max="48" width="8.421875" style="26" customWidth="1"/>
    <col min="49" max="49" width="10.421875" style="26" customWidth="1"/>
    <col min="50" max="50" width="6.421875" style="26" customWidth="1"/>
    <col min="51" max="51" width="10.421875" style="26" customWidth="1"/>
    <col min="52" max="16384" width="9.00390625" style="8" customWidth="1"/>
  </cols>
  <sheetData>
    <row r="1" spans="1:52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11"/>
    </row>
    <row r="2" spans="1:255" s="9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/>
      <c r="AV2" s="28"/>
      <c r="AW2" s="28" t="s">
        <v>19</v>
      </c>
      <c r="AX2" s="34" t="s">
        <v>20</v>
      </c>
      <c r="AY2" s="34" t="s">
        <v>21</v>
      </c>
      <c r="AZ2" s="12" t="s">
        <v>22</v>
      </c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49" t="s">
        <v>23</v>
      </c>
      <c r="L3" s="28" t="s">
        <v>24</v>
      </c>
      <c r="M3" s="28" t="s">
        <v>25</v>
      </c>
      <c r="N3" s="28" t="s">
        <v>26</v>
      </c>
      <c r="O3" s="28" t="s">
        <v>27</v>
      </c>
      <c r="P3" s="28" t="s">
        <v>28</v>
      </c>
      <c r="Q3" s="28" t="s">
        <v>29</v>
      </c>
      <c r="R3" s="28" t="s">
        <v>30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 t="s">
        <v>54</v>
      </c>
      <c r="AV3" s="28" t="s">
        <v>55</v>
      </c>
      <c r="AW3" s="28"/>
      <c r="AX3" s="35"/>
      <c r="AY3" s="35"/>
      <c r="AZ3" s="12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52" s="10" customFormat="1" ht="23.25" customHeight="1">
      <c r="A4" s="15">
        <v>1</v>
      </c>
      <c r="B4" s="16" t="s">
        <v>56</v>
      </c>
      <c r="C4" s="15"/>
      <c r="D4" s="15"/>
      <c r="E4" s="16"/>
      <c r="F4" s="15"/>
      <c r="G4" s="15"/>
      <c r="H4" s="15"/>
      <c r="I4" s="15"/>
      <c r="J4" s="15"/>
      <c r="K4" s="21"/>
      <c r="L4" s="21"/>
      <c r="M4" s="21"/>
      <c r="N4" s="21"/>
      <c r="O4" s="21"/>
      <c r="P4" s="21"/>
      <c r="Q4" s="21"/>
      <c r="R4" s="21"/>
      <c r="S4" s="21">
        <f>SUM(K4:R4)</f>
        <v>0</v>
      </c>
      <c r="T4" s="21">
        <f>IF(ISERROR(K4/F4*H4),"",K4/F4*H4)</f>
      </c>
      <c r="U4" s="21">
        <f>IF(ISERROR(K4/F4*I4*0.4),"",K4/F4*I4*0.4)</f>
      </c>
      <c r="V4" s="24">
        <f>SUM(T4:U4)</f>
        <v>0</v>
      </c>
      <c r="W4" s="24">
        <v>0</v>
      </c>
      <c r="X4" s="21">
        <v>0</v>
      </c>
      <c r="Y4" s="21">
        <v>0</v>
      </c>
      <c r="Z4" s="21">
        <f>SUM(W4:Y4)</f>
        <v>0</v>
      </c>
      <c r="AA4" s="21"/>
      <c r="AB4" s="21"/>
      <c r="AC4" s="21"/>
      <c r="AD4" s="21"/>
      <c r="AE4" s="21">
        <f>SUM(AA4:AD4)</f>
        <v>0</v>
      </c>
      <c r="AF4" s="21"/>
      <c r="AG4" s="21"/>
      <c r="AH4" s="21"/>
      <c r="AI4" s="21">
        <f>SUM(AF4:AH4)</f>
        <v>0</v>
      </c>
      <c r="AJ4" s="21"/>
      <c r="AK4" s="21"/>
      <c r="AL4" s="21"/>
      <c r="AM4" s="21"/>
      <c r="AN4" s="21"/>
      <c r="AO4" s="21">
        <f>SUM(AJ4:AN4)</f>
        <v>0</v>
      </c>
      <c r="AP4" s="21">
        <f>S4-V4-Z4-AE4-AI4-AO4</f>
        <v>0</v>
      </c>
      <c r="AQ4" s="21">
        <f>AP4</f>
        <v>0</v>
      </c>
      <c r="AR4" s="21">
        <f>IF(AS4-AT4&lt;0,0,AS4-AT4)</f>
        <v>0</v>
      </c>
      <c r="AS4" s="24">
        <f>ROUND(MAX((AP4-5000)*{0.03,0.1,0.2,0.25,0.3,0.35,0.45}-{0,2520,16920,31920,52920,85920,181920},0),2)</f>
        <v>0</v>
      </c>
      <c r="AT4" s="24"/>
      <c r="AU4" s="21"/>
      <c r="AV4" s="21"/>
      <c r="AW4" s="21">
        <f>S4-V4-Z4-AE4-AI4-AR4-AU4-AV4</f>
        <v>0</v>
      </c>
      <c r="AX4" s="21"/>
      <c r="AY4" s="21">
        <f>AW4-AX4</f>
        <v>0</v>
      </c>
      <c r="AZ4" s="15"/>
    </row>
    <row r="5" spans="1:52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aca="true" t="shared" si="0" ref="S5:S21">SUM(K5:R5)</f>
        <v>0</v>
      </c>
      <c r="T5" s="21"/>
      <c r="U5" s="21">
        <f aca="true" t="shared" si="1" ref="U5:U18">IF(ISERROR(K5/F5*I5*0.4),"",K5/F5*I5*0.4)</f>
      </c>
      <c r="V5" s="24">
        <f aca="true" t="shared" si="2" ref="V5:V21">SUM(T5:U5)</f>
        <v>0</v>
      </c>
      <c r="W5" s="21"/>
      <c r="X5" s="21"/>
      <c r="Y5" s="21"/>
      <c r="Z5" s="21">
        <f aca="true" t="shared" si="3" ref="Z5:Z21">SUM(W5:Y5)</f>
        <v>0</v>
      </c>
      <c r="AA5" s="21"/>
      <c r="AB5" s="21"/>
      <c r="AC5" s="21"/>
      <c r="AD5" s="21"/>
      <c r="AE5" s="21">
        <f aca="true" t="shared" si="4" ref="AE5:AE21">SUM(AA5:AD5)</f>
        <v>0</v>
      </c>
      <c r="AF5" s="21"/>
      <c r="AG5" s="21"/>
      <c r="AH5" s="21"/>
      <c r="AI5" s="21">
        <f aca="true" t="shared" si="5" ref="AI5:AI18">SUM(AF5:AH5)</f>
        <v>0</v>
      </c>
      <c r="AJ5" s="21"/>
      <c r="AK5" s="21"/>
      <c r="AL5" s="21"/>
      <c r="AM5" s="21"/>
      <c r="AN5" s="21"/>
      <c r="AO5" s="21">
        <f aca="true" t="shared" si="6" ref="AO5:AO21">SUM(AJ5:AN5)</f>
        <v>0</v>
      </c>
      <c r="AP5" s="21">
        <f aca="true" t="shared" si="7" ref="AP5:AP21">S5-V5-Z5-AE5-AI5-AO5</f>
        <v>0</v>
      </c>
      <c r="AQ5" s="21">
        <f aca="true" t="shared" si="8" ref="AQ5:AQ21">AP5</f>
        <v>0</v>
      </c>
      <c r="AR5" s="21">
        <f aca="true" t="shared" si="9" ref="AR5:AR21">IF(AS5-AT5&lt;0,0,AS5-AT5)</f>
        <v>0</v>
      </c>
      <c r="AS5" s="24">
        <f>ROUND(MAX((AP5-5000)*{0.03,0.1,0.2,0.25,0.3,0.35,0.45}-{0,2520,16920,31920,52920,85920,181920},0),2)</f>
        <v>0</v>
      </c>
      <c r="AT5" s="21"/>
      <c r="AU5" s="21"/>
      <c r="AV5" s="21"/>
      <c r="AW5" s="21">
        <f aca="true" t="shared" si="10" ref="AW5:AW21">S5-V5-Z5-AE5-AI5-AR5-AU5-AV5</f>
        <v>0</v>
      </c>
      <c r="AX5" s="21"/>
      <c r="AY5" s="21">
        <f aca="true" t="shared" si="11" ref="AY5:AY21">AW5-AX5</f>
        <v>0</v>
      </c>
      <c r="AZ5" s="15"/>
    </row>
    <row r="6" spans="1:52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/>
      <c r="U6" s="21">
        <f t="shared" si="1"/>
      </c>
      <c r="V6" s="24">
        <f t="shared" si="2"/>
        <v>0</v>
      </c>
      <c r="W6" s="21"/>
      <c r="X6" s="21"/>
      <c r="Y6" s="21"/>
      <c r="Z6" s="21">
        <f t="shared" si="3"/>
        <v>0</v>
      </c>
      <c r="AA6" s="21"/>
      <c r="AB6" s="21"/>
      <c r="AC6" s="21"/>
      <c r="AD6" s="21"/>
      <c r="AE6" s="21">
        <f t="shared" si="4"/>
        <v>0</v>
      </c>
      <c r="AF6" s="21"/>
      <c r="AG6" s="21"/>
      <c r="AH6" s="21"/>
      <c r="AI6" s="21">
        <f t="shared" si="5"/>
        <v>0</v>
      </c>
      <c r="AJ6" s="21"/>
      <c r="AK6" s="21"/>
      <c r="AL6" s="21"/>
      <c r="AM6" s="21"/>
      <c r="AN6" s="21"/>
      <c r="AO6" s="21">
        <f t="shared" si="6"/>
        <v>0</v>
      </c>
      <c r="AP6" s="21">
        <f t="shared" si="7"/>
        <v>0</v>
      </c>
      <c r="AQ6" s="21">
        <f t="shared" si="8"/>
        <v>0</v>
      </c>
      <c r="AR6" s="21">
        <f t="shared" si="9"/>
        <v>0</v>
      </c>
      <c r="AS6" s="24">
        <f>ROUND(MAX((AP6-5000)*{0.03,0.1,0.2,0.25,0.3,0.35,0.45}-{0,2520,16920,31920,52920,85920,181920},0),2)</f>
        <v>0</v>
      </c>
      <c r="AT6" s="21"/>
      <c r="AU6" s="21"/>
      <c r="AV6" s="21"/>
      <c r="AW6" s="21">
        <f t="shared" si="10"/>
        <v>0</v>
      </c>
      <c r="AX6" s="21"/>
      <c r="AY6" s="21">
        <f t="shared" si="11"/>
        <v>0</v>
      </c>
      <c r="AZ6" s="15"/>
    </row>
    <row r="7" spans="1:52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/>
      <c r="U7" s="21">
        <f t="shared" si="1"/>
      </c>
      <c r="V7" s="24">
        <f t="shared" si="2"/>
        <v>0</v>
      </c>
      <c r="W7" s="21"/>
      <c r="X7" s="21"/>
      <c r="Y7" s="21"/>
      <c r="Z7" s="21">
        <f t="shared" si="3"/>
        <v>0</v>
      </c>
      <c r="AA7" s="21"/>
      <c r="AB7" s="21"/>
      <c r="AC7" s="21"/>
      <c r="AD7" s="21"/>
      <c r="AE7" s="21">
        <f t="shared" si="4"/>
        <v>0</v>
      </c>
      <c r="AF7" s="21"/>
      <c r="AG7" s="21"/>
      <c r="AH7" s="21"/>
      <c r="AI7" s="21">
        <f t="shared" si="5"/>
        <v>0</v>
      </c>
      <c r="AJ7" s="21"/>
      <c r="AK7" s="21"/>
      <c r="AL7" s="21"/>
      <c r="AM7" s="21"/>
      <c r="AN7" s="21"/>
      <c r="AO7" s="21">
        <f t="shared" si="6"/>
        <v>0</v>
      </c>
      <c r="AP7" s="21">
        <f t="shared" si="7"/>
        <v>0</v>
      </c>
      <c r="AQ7" s="21">
        <f t="shared" si="8"/>
        <v>0</v>
      </c>
      <c r="AR7" s="21">
        <f t="shared" si="9"/>
        <v>0</v>
      </c>
      <c r="AS7" s="24">
        <f>ROUND(MAX((AP7-5000)*{0.03,0.1,0.2,0.25,0.3,0.35,0.45}-{0,2520,16920,31920,52920,85920,181920},0),2)</f>
        <v>0</v>
      </c>
      <c r="AT7" s="21"/>
      <c r="AU7" s="21"/>
      <c r="AV7" s="21"/>
      <c r="AW7" s="21">
        <f t="shared" si="10"/>
        <v>0</v>
      </c>
      <c r="AX7" s="21"/>
      <c r="AY7" s="21">
        <f t="shared" si="11"/>
        <v>0</v>
      </c>
      <c r="AZ7" s="15"/>
    </row>
    <row r="8" spans="1:52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/>
      <c r="U8" s="21">
        <f t="shared" si="1"/>
      </c>
      <c r="V8" s="24">
        <f t="shared" si="2"/>
        <v>0</v>
      </c>
      <c r="W8" s="21"/>
      <c r="X8" s="21"/>
      <c r="Y8" s="21"/>
      <c r="Z8" s="21">
        <f t="shared" si="3"/>
        <v>0</v>
      </c>
      <c r="AA8" s="21"/>
      <c r="AB8" s="21"/>
      <c r="AC8" s="21"/>
      <c r="AD8" s="21"/>
      <c r="AE8" s="21">
        <f t="shared" si="4"/>
        <v>0</v>
      </c>
      <c r="AF8" s="21"/>
      <c r="AG8" s="21"/>
      <c r="AH8" s="21"/>
      <c r="AI8" s="21">
        <f t="shared" si="5"/>
        <v>0</v>
      </c>
      <c r="AJ8" s="21"/>
      <c r="AK8" s="21"/>
      <c r="AL8" s="21"/>
      <c r="AM8" s="21"/>
      <c r="AN8" s="21"/>
      <c r="AO8" s="21">
        <f t="shared" si="6"/>
        <v>0</v>
      </c>
      <c r="AP8" s="21">
        <f t="shared" si="7"/>
        <v>0</v>
      </c>
      <c r="AQ8" s="21">
        <f t="shared" si="8"/>
        <v>0</v>
      </c>
      <c r="AR8" s="21">
        <f t="shared" si="9"/>
        <v>0</v>
      </c>
      <c r="AS8" s="24">
        <f>ROUND(MAX((AP8-5000)*{0.03,0.1,0.2,0.25,0.3,0.35,0.45}-{0,2520,16920,31920,52920,85920,181920},0),2)</f>
        <v>0</v>
      </c>
      <c r="AT8" s="21"/>
      <c r="AU8" s="21"/>
      <c r="AV8" s="21"/>
      <c r="AW8" s="21">
        <f t="shared" si="10"/>
        <v>0</v>
      </c>
      <c r="AX8" s="21"/>
      <c r="AY8" s="21">
        <f t="shared" si="11"/>
        <v>0</v>
      </c>
      <c r="AZ8" s="15"/>
    </row>
    <row r="9" spans="1:52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/>
      <c r="U9" s="21">
        <f t="shared" si="1"/>
      </c>
      <c r="V9" s="24">
        <f t="shared" si="2"/>
        <v>0</v>
      </c>
      <c r="W9" s="21"/>
      <c r="X9" s="21"/>
      <c r="Y9" s="21"/>
      <c r="Z9" s="21">
        <f t="shared" si="3"/>
        <v>0</v>
      </c>
      <c r="AA9" s="21"/>
      <c r="AB9" s="21"/>
      <c r="AC9" s="21"/>
      <c r="AD9" s="21"/>
      <c r="AE9" s="21">
        <f t="shared" si="4"/>
        <v>0</v>
      </c>
      <c r="AF9" s="21"/>
      <c r="AG9" s="21"/>
      <c r="AH9" s="21"/>
      <c r="AI9" s="21">
        <f t="shared" si="5"/>
        <v>0</v>
      </c>
      <c r="AJ9" s="21"/>
      <c r="AK9" s="21"/>
      <c r="AL9" s="21"/>
      <c r="AM9" s="21"/>
      <c r="AN9" s="21"/>
      <c r="AO9" s="21">
        <f t="shared" si="6"/>
        <v>0</v>
      </c>
      <c r="AP9" s="21">
        <f t="shared" si="7"/>
        <v>0</v>
      </c>
      <c r="AQ9" s="21">
        <f t="shared" si="8"/>
        <v>0</v>
      </c>
      <c r="AR9" s="21">
        <f t="shared" si="9"/>
        <v>0</v>
      </c>
      <c r="AS9" s="24">
        <f>ROUND(MAX((AP9-5000)*{0.03,0.1,0.2,0.25,0.3,0.35,0.45}-{0,2520,16920,31920,52920,85920,181920},0),2)</f>
        <v>0</v>
      </c>
      <c r="AT9" s="21"/>
      <c r="AU9" s="21"/>
      <c r="AV9" s="21"/>
      <c r="AW9" s="21">
        <f t="shared" si="10"/>
        <v>0</v>
      </c>
      <c r="AX9" s="21"/>
      <c r="AY9" s="21">
        <f t="shared" si="11"/>
        <v>0</v>
      </c>
      <c r="AZ9" s="15"/>
    </row>
    <row r="10" spans="1:52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aca="true" t="shared" si="12" ref="T5:T18">IF(ISERROR(K10/F10*H10),"",K10/F10*H10)</f>
      </c>
      <c r="U10" s="21">
        <f t="shared" si="1"/>
      </c>
      <c r="V10" s="24">
        <f t="shared" si="2"/>
        <v>0</v>
      </c>
      <c r="W10" s="21"/>
      <c r="X10" s="21"/>
      <c r="Y10" s="21"/>
      <c r="Z10" s="21">
        <f t="shared" si="3"/>
        <v>0</v>
      </c>
      <c r="AA10" s="21"/>
      <c r="AB10" s="21"/>
      <c r="AC10" s="21"/>
      <c r="AD10" s="21"/>
      <c r="AE10" s="21">
        <f t="shared" si="4"/>
        <v>0</v>
      </c>
      <c r="AF10" s="21"/>
      <c r="AG10" s="21"/>
      <c r="AH10" s="21"/>
      <c r="AI10" s="21">
        <f t="shared" si="5"/>
        <v>0</v>
      </c>
      <c r="AJ10" s="21"/>
      <c r="AK10" s="21"/>
      <c r="AL10" s="21"/>
      <c r="AM10" s="21"/>
      <c r="AN10" s="21"/>
      <c r="AO10" s="21">
        <f t="shared" si="6"/>
        <v>0</v>
      </c>
      <c r="AP10" s="21">
        <f t="shared" si="7"/>
        <v>0</v>
      </c>
      <c r="AQ10" s="21">
        <f t="shared" si="8"/>
        <v>0</v>
      </c>
      <c r="AR10" s="21">
        <f t="shared" si="9"/>
        <v>0</v>
      </c>
      <c r="AS10" s="24">
        <f>ROUND(MAX((AP10-5000)*{0.03,0.1,0.2,0.25,0.3,0.35,0.45}-{0,2520,16920,31920,52920,85920,181920},0),2)</f>
        <v>0</v>
      </c>
      <c r="AT10" s="21"/>
      <c r="AU10" s="21"/>
      <c r="AV10" s="21"/>
      <c r="AW10" s="21">
        <f t="shared" si="10"/>
        <v>0</v>
      </c>
      <c r="AX10" s="21"/>
      <c r="AY10" s="21">
        <f t="shared" si="11"/>
        <v>0</v>
      </c>
      <c r="AZ10" s="15"/>
    </row>
    <row r="11" spans="1:52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12"/>
      </c>
      <c r="U11" s="21">
        <f t="shared" si="1"/>
      </c>
      <c r="V11" s="24">
        <f t="shared" si="2"/>
        <v>0</v>
      </c>
      <c r="W11" s="21"/>
      <c r="X11" s="21"/>
      <c r="Y11" s="21"/>
      <c r="Z11" s="21">
        <f t="shared" si="3"/>
        <v>0</v>
      </c>
      <c r="AA11" s="21"/>
      <c r="AB11" s="21"/>
      <c r="AC11" s="21"/>
      <c r="AD11" s="21"/>
      <c r="AE11" s="21">
        <f t="shared" si="4"/>
        <v>0</v>
      </c>
      <c r="AF11" s="21"/>
      <c r="AG11" s="21"/>
      <c r="AH11" s="21"/>
      <c r="AI11" s="21">
        <f t="shared" si="5"/>
        <v>0</v>
      </c>
      <c r="AJ11" s="21"/>
      <c r="AK11" s="21"/>
      <c r="AL11" s="21"/>
      <c r="AM11" s="21"/>
      <c r="AN11" s="21"/>
      <c r="AO11" s="21">
        <f t="shared" si="6"/>
        <v>0</v>
      </c>
      <c r="AP11" s="21">
        <f t="shared" si="7"/>
        <v>0</v>
      </c>
      <c r="AQ11" s="21">
        <f t="shared" si="8"/>
        <v>0</v>
      </c>
      <c r="AR11" s="21">
        <f t="shared" si="9"/>
        <v>0</v>
      </c>
      <c r="AS11" s="24">
        <f>ROUND(MAX((AP11-5000)*{0.03,0.1,0.2,0.25,0.3,0.35,0.45}-{0,2520,16920,31920,52920,85920,181920},0),2)</f>
        <v>0</v>
      </c>
      <c r="AT11" s="21"/>
      <c r="AU11" s="21"/>
      <c r="AV11" s="21"/>
      <c r="AW11" s="21">
        <f t="shared" si="10"/>
        <v>0</v>
      </c>
      <c r="AX11" s="21"/>
      <c r="AY11" s="21">
        <f t="shared" si="11"/>
        <v>0</v>
      </c>
      <c r="AZ11" s="15"/>
    </row>
    <row r="12" spans="1:52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12"/>
      </c>
      <c r="U12" s="21">
        <f t="shared" si="1"/>
      </c>
      <c r="V12" s="24">
        <f t="shared" si="2"/>
        <v>0</v>
      </c>
      <c r="W12" s="21"/>
      <c r="X12" s="21"/>
      <c r="Y12" s="21"/>
      <c r="Z12" s="21">
        <f t="shared" si="3"/>
        <v>0</v>
      </c>
      <c r="AA12" s="21"/>
      <c r="AB12" s="21"/>
      <c r="AC12" s="21"/>
      <c r="AD12" s="21"/>
      <c r="AE12" s="21">
        <f t="shared" si="4"/>
        <v>0</v>
      </c>
      <c r="AF12" s="21"/>
      <c r="AG12" s="21"/>
      <c r="AH12" s="21"/>
      <c r="AI12" s="21">
        <f t="shared" si="5"/>
        <v>0</v>
      </c>
      <c r="AJ12" s="21"/>
      <c r="AK12" s="21"/>
      <c r="AL12" s="21"/>
      <c r="AM12" s="21"/>
      <c r="AN12" s="21"/>
      <c r="AO12" s="21">
        <f t="shared" si="6"/>
        <v>0</v>
      </c>
      <c r="AP12" s="21">
        <f t="shared" si="7"/>
        <v>0</v>
      </c>
      <c r="AQ12" s="21">
        <f t="shared" si="8"/>
        <v>0</v>
      </c>
      <c r="AR12" s="21">
        <f t="shared" si="9"/>
        <v>0</v>
      </c>
      <c r="AS12" s="24">
        <f>ROUND(MAX((AP12-5000)*{0.03,0.1,0.2,0.25,0.3,0.35,0.45}-{0,2520,16920,31920,52920,85920,181920},0),2)</f>
        <v>0</v>
      </c>
      <c r="AT12" s="21"/>
      <c r="AU12" s="21"/>
      <c r="AV12" s="21"/>
      <c r="AW12" s="21">
        <f t="shared" si="10"/>
        <v>0</v>
      </c>
      <c r="AX12" s="21"/>
      <c r="AY12" s="21">
        <f t="shared" si="11"/>
        <v>0</v>
      </c>
      <c r="AZ12" s="15"/>
    </row>
    <row r="13" spans="1:52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12"/>
      </c>
      <c r="U13" s="21">
        <f t="shared" si="1"/>
      </c>
      <c r="V13" s="24">
        <f t="shared" si="2"/>
        <v>0</v>
      </c>
      <c r="W13" s="21"/>
      <c r="X13" s="21"/>
      <c r="Y13" s="21"/>
      <c r="Z13" s="21">
        <f t="shared" si="3"/>
        <v>0</v>
      </c>
      <c r="AA13" s="21"/>
      <c r="AB13" s="21"/>
      <c r="AC13" s="21"/>
      <c r="AD13" s="21"/>
      <c r="AE13" s="21">
        <f t="shared" si="4"/>
        <v>0</v>
      </c>
      <c r="AF13" s="21"/>
      <c r="AG13" s="21"/>
      <c r="AH13" s="21"/>
      <c r="AI13" s="21">
        <f t="shared" si="5"/>
        <v>0</v>
      </c>
      <c r="AJ13" s="21"/>
      <c r="AK13" s="21"/>
      <c r="AL13" s="21"/>
      <c r="AM13" s="21"/>
      <c r="AN13" s="21"/>
      <c r="AO13" s="21">
        <f t="shared" si="6"/>
        <v>0</v>
      </c>
      <c r="AP13" s="21">
        <f t="shared" si="7"/>
        <v>0</v>
      </c>
      <c r="AQ13" s="21">
        <f t="shared" si="8"/>
        <v>0</v>
      </c>
      <c r="AR13" s="21">
        <f t="shared" si="9"/>
        <v>0</v>
      </c>
      <c r="AS13" s="24">
        <f>ROUND(MAX((AP13-5000)*{0.03,0.1,0.2,0.25,0.3,0.35,0.45}-{0,2520,16920,31920,52920,85920,181920},0),2)</f>
        <v>0</v>
      </c>
      <c r="AT13" s="21"/>
      <c r="AU13" s="21"/>
      <c r="AV13" s="21"/>
      <c r="AW13" s="21">
        <f t="shared" si="10"/>
        <v>0</v>
      </c>
      <c r="AX13" s="21"/>
      <c r="AY13" s="21">
        <f t="shared" si="11"/>
        <v>0</v>
      </c>
      <c r="AZ13" s="15"/>
    </row>
    <row r="14" spans="1:52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12"/>
      </c>
      <c r="U14" s="21">
        <f t="shared" si="1"/>
      </c>
      <c r="V14" s="24">
        <f t="shared" si="2"/>
        <v>0</v>
      </c>
      <c r="W14" s="21"/>
      <c r="X14" s="21"/>
      <c r="Y14" s="21"/>
      <c r="Z14" s="21">
        <f t="shared" si="3"/>
        <v>0</v>
      </c>
      <c r="AA14" s="21"/>
      <c r="AB14" s="21"/>
      <c r="AC14" s="21"/>
      <c r="AD14" s="21"/>
      <c r="AE14" s="21">
        <f t="shared" si="4"/>
        <v>0</v>
      </c>
      <c r="AF14" s="21"/>
      <c r="AG14" s="21"/>
      <c r="AH14" s="21"/>
      <c r="AI14" s="21">
        <f t="shared" si="5"/>
        <v>0</v>
      </c>
      <c r="AJ14" s="21"/>
      <c r="AK14" s="21"/>
      <c r="AL14" s="21"/>
      <c r="AM14" s="21"/>
      <c r="AN14" s="21"/>
      <c r="AO14" s="21">
        <f t="shared" si="6"/>
        <v>0</v>
      </c>
      <c r="AP14" s="21">
        <f t="shared" si="7"/>
        <v>0</v>
      </c>
      <c r="AQ14" s="21">
        <f t="shared" si="8"/>
        <v>0</v>
      </c>
      <c r="AR14" s="21">
        <f t="shared" si="9"/>
        <v>0</v>
      </c>
      <c r="AS14" s="24">
        <f>ROUND(MAX((AP14-5000)*{0.03,0.1,0.2,0.25,0.3,0.35,0.45}-{0,2520,16920,31920,52920,85920,181920},0),2)</f>
        <v>0</v>
      </c>
      <c r="AT14" s="21"/>
      <c r="AU14" s="21"/>
      <c r="AV14" s="21"/>
      <c r="AW14" s="21">
        <f t="shared" si="10"/>
        <v>0</v>
      </c>
      <c r="AX14" s="21"/>
      <c r="AY14" s="21">
        <f t="shared" si="11"/>
        <v>0</v>
      </c>
      <c r="AZ14" s="15"/>
    </row>
    <row r="15" spans="1:52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/>
      <c r="U15" s="21">
        <f t="shared" si="1"/>
      </c>
      <c r="V15" s="24">
        <f t="shared" si="2"/>
        <v>0</v>
      </c>
      <c r="W15" s="21"/>
      <c r="X15" s="21"/>
      <c r="Y15" s="21"/>
      <c r="Z15" s="21">
        <f t="shared" si="3"/>
        <v>0</v>
      </c>
      <c r="AA15" s="21"/>
      <c r="AB15" s="21"/>
      <c r="AC15" s="21"/>
      <c r="AD15" s="21"/>
      <c r="AE15" s="21">
        <f t="shared" si="4"/>
        <v>0</v>
      </c>
      <c r="AF15" s="21"/>
      <c r="AG15" s="21"/>
      <c r="AH15" s="21"/>
      <c r="AI15" s="21">
        <f t="shared" si="5"/>
        <v>0</v>
      </c>
      <c r="AJ15" s="21"/>
      <c r="AK15" s="21"/>
      <c r="AL15" s="21"/>
      <c r="AM15" s="21"/>
      <c r="AN15" s="21"/>
      <c r="AO15" s="21">
        <f t="shared" si="6"/>
        <v>0</v>
      </c>
      <c r="AP15" s="21">
        <f t="shared" si="7"/>
        <v>0</v>
      </c>
      <c r="AQ15" s="21">
        <f t="shared" si="8"/>
        <v>0</v>
      </c>
      <c r="AR15" s="21">
        <f t="shared" si="9"/>
        <v>0</v>
      </c>
      <c r="AS15" s="24">
        <f>ROUND(MAX((AP15-5000)*{0.03,0.1,0.2,0.25,0.3,0.35,0.45}-{0,2520,16920,31920,52920,85920,181920},0),2)</f>
        <v>0</v>
      </c>
      <c r="AT15" s="21"/>
      <c r="AU15" s="21"/>
      <c r="AV15" s="21"/>
      <c r="AW15" s="21">
        <f t="shared" si="10"/>
        <v>0</v>
      </c>
      <c r="AX15" s="21"/>
      <c r="AY15" s="21">
        <f t="shared" si="11"/>
        <v>0</v>
      </c>
      <c r="AZ15" s="15"/>
    </row>
    <row r="16" spans="1:52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12"/>
      </c>
      <c r="U16" s="21">
        <f t="shared" si="1"/>
      </c>
      <c r="V16" s="24">
        <f t="shared" si="2"/>
        <v>0</v>
      </c>
      <c r="W16" s="21"/>
      <c r="X16" s="21"/>
      <c r="Y16" s="21"/>
      <c r="Z16" s="21">
        <f t="shared" si="3"/>
        <v>0</v>
      </c>
      <c r="AA16" s="21"/>
      <c r="AB16" s="21"/>
      <c r="AC16" s="21"/>
      <c r="AD16" s="21"/>
      <c r="AE16" s="21">
        <f t="shared" si="4"/>
        <v>0</v>
      </c>
      <c r="AF16" s="21"/>
      <c r="AG16" s="21"/>
      <c r="AH16" s="21"/>
      <c r="AI16" s="21">
        <f t="shared" si="5"/>
        <v>0</v>
      </c>
      <c r="AJ16" s="21"/>
      <c r="AK16" s="21"/>
      <c r="AL16" s="21"/>
      <c r="AM16" s="21"/>
      <c r="AN16" s="21"/>
      <c r="AO16" s="21">
        <f t="shared" si="6"/>
        <v>0</v>
      </c>
      <c r="AP16" s="21">
        <f t="shared" si="7"/>
        <v>0</v>
      </c>
      <c r="AQ16" s="21">
        <f t="shared" si="8"/>
        <v>0</v>
      </c>
      <c r="AR16" s="21">
        <f t="shared" si="9"/>
        <v>0</v>
      </c>
      <c r="AS16" s="24">
        <f>ROUND(MAX((AP16-5000)*{0.03,0.1,0.2,0.25,0.3,0.35,0.45}-{0,2520,16920,31920,52920,85920,181920},0),2)</f>
        <v>0</v>
      </c>
      <c r="AT16" s="21"/>
      <c r="AU16" s="21"/>
      <c r="AV16" s="21"/>
      <c r="AW16" s="21">
        <f t="shared" si="10"/>
        <v>0</v>
      </c>
      <c r="AX16" s="21"/>
      <c r="AY16" s="21">
        <f t="shared" si="11"/>
        <v>0</v>
      </c>
      <c r="AZ16" s="15"/>
    </row>
    <row r="17" spans="1:52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12"/>
      </c>
      <c r="U17" s="21">
        <f t="shared" si="1"/>
      </c>
      <c r="V17" s="24">
        <f t="shared" si="2"/>
        <v>0</v>
      </c>
      <c r="W17" s="21"/>
      <c r="X17" s="21"/>
      <c r="Y17" s="21"/>
      <c r="Z17" s="21">
        <f t="shared" si="3"/>
        <v>0</v>
      </c>
      <c r="AA17" s="21"/>
      <c r="AB17" s="21"/>
      <c r="AC17" s="21"/>
      <c r="AD17" s="21"/>
      <c r="AE17" s="21">
        <f t="shared" si="4"/>
        <v>0</v>
      </c>
      <c r="AF17" s="21"/>
      <c r="AG17" s="21"/>
      <c r="AH17" s="21"/>
      <c r="AI17" s="21">
        <f t="shared" si="5"/>
        <v>0</v>
      </c>
      <c r="AJ17" s="21"/>
      <c r="AK17" s="21"/>
      <c r="AL17" s="21"/>
      <c r="AM17" s="21"/>
      <c r="AN17" s="21"/>
      <c r="AO17" s="21">
        <f t="shared" si="6"/>
        <v>0</v>
      </c>
      <c r="AP17" s="21">
        <f t="shared" si="7"/>
        <v>0</v>
      </c>
      <c r="AQ17" s="21">
        <f t="shared" si="8"/>
        <v>0</v>
      </c>
      <c r="AR17" s="21">
        <f t="shared" si="9"/>
        <v>0</v>
      </c>
      <c r="AS17" s="24">
        <f>ROUND(MAX((AP17-5000)*{0.03,0.1,0.2,0.25,0.3,0.35,0.45}-{0,2520,16920,31920,52920,85920,181920},0),2)</f>
        <v>0</v>
      </c>
      <c r="AT17" s="21"/>
      <c r="AU17" s="21"/>
      <c r="AV17" s="21"/>
      <c r="AW17" s="21">
        <f t="shared" si="10"/>
        <v>0</v>
      </c>
      <c r="AX17" s="21"/>
      <c r="AY17" s="21">
        <f t="shared" si="11"/>
        <v>0</v>
      </c>
      <c r="AZ17" s="15"/>
    </row>
    <row r="18" spans="1:52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/>
      <c r="U18" s="21"/>
      <c r="V18" s="24">
        <f t="shared" si="2"/>
        <v>0</v>
      </c>
      <c r="W18" s="21"/>
      <c r="X18" s="21"/>
      <c r="Y18" s="21"/>
      <c r="Z18" s="21">
        <f t="shared" si="3"/>
        <v>0</v>
      </c>
      <c r="AA18" s="21"/>
      <c r="AB18" s="21"/>
      <c r="AC18" s="21"/>
      <c r="AD18" s="21"/>
      <c r="AE18" s="21">
        <f t="shared" si="4"/>
        <v>0</v>
      </c>
      <c r="AF18" s="21"/>
      <c r="AG18" s="21"/>
      <c r="AH18" s="21"/>
      <c r="AI18" s="21"/>
      <c r="AJ18" s="21"/>
      <c r="AK18" s="21"/>
      <c r="AL18" s="21"/>
      <c r="AM18" s="21"/>
      <c r="AN18" s="21"/>
      <c r="AO18" s="21">
        <f t="shared" si="6"/>
        <v>0</v>
      </c>
      <c r="AP18" s="21">
        <f t="shared" si="7"/>
        <v>0</v>
      </c>
      <c r="AQ18" s="21">
        <f t="shared" si="8"/>
        <v>0</v>
      </c>
      <c r="AR18" s="21">
        <f t="shared" si="9"/>
        <v>0</v>
      </c>
      <c r="AS18" s="24">
        <f>ROUND(MAX((AP18-5000)*{0.03,0.1,0.2,0.25,0.3,0.35,0.45}-{0,2520,16920,31920,52920,85920,181920},0),2)</f>
        <v>0</v>
      </c>
      <c r="AT18" s="21"/>
      <c r="AU18" s="21"/>
      <c r="AV18" s="21"/>
      <c r="AW18" s="21">
        <f t="shared" si="10"/>
        <v>0</v>
      </c>
      <c r="AX18" s="21"/>
      <c r="AY18" s="21">
        <f t="shared" si="11"/>
        <v>0</v>
      </c>
      <c r="AZ18" s="15"/>
    </row>
    <row r="19" spans="1:52" s="10" customFormat="1" ht="23.25" customHeight="1">
      <c r="A19" s="15">
        <v>16</v>
      </c>
      <c r="B19" s="16" t="s">
        <v>71</v>
      </c>
      <c r="C19" s="15"/>
      <c r="D19" s="15"/>
      <c r="E19" s="16"/>
      <c r="F19" s="15"/>
      <c r="G19" s="15"/>
      <c r="H19" s="15"/>
      <c r="I19" s="15"/>
      <c r="J19" s="15"/>
      <c r="K19" s="21"/>
      <c r="L19" s="21"/>
      <c r="M19" s="21"/>
      <c r="N19" s="21"/>
      <c r="O19" s="21"/>
      <c r="P19" s="21"/>
      <c r="Q19" s="21"/>
      <c r="R19" s="21"/>
      <c r="S19" s="21">
        <f t="shared" si="0"/>
        <v>0</v>
      </c>
      <c r="T19" s="21"/>
      <c r="U19" s="21"/>
      <c r="V19" s="24">
        <f t="shared" si="2"/>
        <v>0</v>
      </c>
      <c r="W19" s="21"/>
      <c r="X19" s="21"/>
      <c r="Y19" s="21"/>
      <c r="Z19" s="21">
        <f t="shared" si="3"/>
        <v>0</v>
      </c>
      <c r="AA19" s="21"/>
      <c r="AB19" s="21"/>
      <c r="AC19" s="21"/>
      <c r="AD19" s="21"/>
      <c r="AE19" s="21">
        <f t="shared" si="4"/>
        <v>0</v>
      </c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f t="shared" si="6"/>
        <v>0</v>
      </c>
      <c r="AP19" s="21">
        <f t="shared" si="7"/>
        <v>0</v>
      </c>
      <c r="AQ19" s="21">
        <f t="shared" si="8"/>
        <v>0</v>
      </c>
      <c r="AR19" s="21">
        <f t="shared" si="9"/>
        <v>0</v>
      </c>
      <c r="AS19" s="24">
        <f>ROUND(MAX((AP19-5000)*{0.03,0.1,0.2,0.25,0.3,0.35,0.45}-{0,2520,16920,31920,52920,85920,181920},0),2)</f>
        <v>0</v>
      </c>
      <c r="AT19" s="21"/>
      <c r="AU19" s="21"/>
      <c r="AV19" s="21"/>
      <c r="AW19" s="21">
        <f t="shared" si="10"/>
        <v>0</v>
      </c>
      <c r="AX19" s="21"/>
      <c r="AY19" s="21">
        <f t="shared" si="11"/>
        <v>0</v>
      </c>
      <c r="AZ19" s="15"/>
    </row>
    <row r="20" spans="1:52" s="10" customFormat="1" ht="23.25" customHeight="1">
      <c r="A20" s="15">
        <v>17</v>
      </c>
      <c r="B20" s="16" t="s">
        <v>72</v>
      </c>
      <c r="C20" s="15"/>
      <c r="D20" s="15"/>
      <c r="E20" s="16"/>
      <c r="F20" s="15"/>
      <c r="G20" s="15"/>
      <c r="H20" s="15"/>
      <c r="I20" s="15"/>
      <c r="J20" s="15"/>
      <c r="K20" s="21"/>
      <c r="L20" s="21"/>
      <c r="M20" s="21"/>
      <c r="N20" s="21"/>
      <c r="O20" s="21"/>
      <c r="P20" s="21"/>
      <c r="Q20" s="21"/>
      <c r="R20" s="21"/>
      <c r="S20" s="21">
        <f t="shared" si="0"/>
        <v>0</v>
      </c>
      <c r="T20" s="21"/>
      <c r="U20" s="21"/>
      <c r="V20" s="24">
        <f t="shared" si="2"/>
        <v>0</v>
      </c>
      <c r="W20" s="21"/>
      <c r="X20" s="21"/>
      <c r="Y20" s="21"/>
      <c r="Z20" s="21">
        <f t="shared" si="3"/>
        <v>0</v>
      </c>
      <c r="AA20" s="21"/>
      <c r="AB20" s="21"/>
      <c r="AC20" s="21"/>
      <c r="AD20" s="21"/>
      <c r="AE20" s="21">
        <f t="shared" si="4"/>
        <v>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f t="shared" si="6"/>
        <v>0</v>
      </c>
      <c r="AP20" s="21">
        <f t="shared" si="7"/>
        <v>0</v>
      </c>
      <c r="AQ20" s="21">
        <f t="shared" si="8"/>
        <v>0</v>
      </c>
      <c r="AR20" s="21">
        <f t="shared" si="9"/>
        <v>0</v>
      </c>
      <c r="AS20" s="24">
        <f>ROUND(MAX((AP20-5000)*{0.03,0.1,0.2,0.25,0.3,0.35,0.45}-{0,2520,16920,31920,52920,85920,181920},0),2)</f>
        <v>0</v>
      </c>
      <c r="AT20" s="21"/>
      <c r="AU20" s="21"/>
      <c r="AV20" s="21"/>
      <c r="AW20" s="21">
        <f t="shared" si="10"/>
        <v>0</v>
      </c>
      <c r="AX20" s="21"/>
      <c r="AY20" s="21">
        <f t="shared" si="11"/>
        <v>0</v>
      </c>
      <c r="AZ20" s="15"/>
    </row>
    <row r="21" spans="1:52" s="10" customFormat="1" ht="23.25" customHeight="1">
      <c r="A21" s="15">
        <v>18</v>
      </c>
      <c r="B21" s="16" t="s">
        <v>73</v>
      </c>
      <c r="C21" s="15"/>
      <c r="D21" s="15"/>
      <c r="E21" s="16"/>
      <c r="F21" s="15"/>
      <c r="G21" s="15"/>
      <c r="H21" s="15"/>
      <c r="I21" s="15"/>
      <c r="J21" s="15"/>
      <c r="K21" s="21"/>
      <c r="L21" s="21"/>
      <c r="M21" s="21"/>
      <c r="N21" s="21"/>
      <c r="O21" s="21"/>
      <c r="P21" s="21"/>
      <c r="Q21" s="21"/>
      <c r="R21" s="21"/>
      <c r="S21" s="21">
        <f t="shared" si="0"/>
        <v>0</v>
      </c>
      <c r="T21" s="21"/>
      <c r="U21" s="21"/>
      <c r="V21" s="24">
        <f t="shared" si="2"/>
        <v>0</v>
      </c>
      <c r="W21" s="21"/>
      <c r="X21" s="21"/>
      <c r="Y21" s="21"/>
      <c r="Z21" s="21">
        <f t="shared" si="3"/>
        <v>0</v>
      </c>
      <c r="AA21" s="21"/>
      <c r="AB21" s="21"/>
      <c r="AC21" s="21"/>
      <c r="AD21" s="21"/>
      <c r="AE21" s="21">
        <f t="shared" si="4"/>
        <v>0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>
        <f t="shared" si="6"/>
        <v>0</v>
      </c>
      <c r="AP21" s="21">
        <f t="shared" si="7"/>
        <v>0</v>
      </c>
      <c r="AQ21" s="21">
        <f t="shared" si="8"/>
        <v>0</v>
      </c>
      <c r="AR21" s="21">
        <f t="shared" si="9"/>
        <v>0</v>
      </c>
      <c r="AS21" s="24">
        <f>ROUND(MAX((AP21-5000)*{0.03,0.1,0.2,0.25,0.3,0.35,0.45}-{0,2520,16920,31920,52920,85920,181920},0),2)</f>
        <v>0</v>
      </c>
      <c r="AT21" s="21"/>
      <c r="AU21" s="21"/>
      <c r="AV21" s="21"/>
      <c r="AW21" s="21">
        <f t="shared" si="10"/>
        <v>0</v>
      </c>
      <c r="AX21" s="21"/>
      <c r="AY21" s="21">
        <f t="shared" si="11"/>
        <v>0</v>
      </c>
      <c r="AZ21" s="15"/>
    </row>
    <row r="22" spans="1:52" s="10" customFormat="1" ht="23.25" customHeight="1">
      <c r="A22" s="17" t="s">
        <v>31</v>
      </c>
      <c r="B22" s="18"/>
      <c r="C22" s="18"/>
      <c r="D22" s="19"/>
      <c r="E22" s="16"/>
      <c r="F22" s="15">
        <f aca="true" t="shared" si="13" ref="F22:K22">SUM(F4:F21)</f>
        <v>0</v>
      </c>
      <c r="G22" s="15">
        <f t="shared" si="13"/>
        <v>0</v>
      </c>
      <c r="H22" s="15">
        <f t="shared" si="13"/>
        <v>0</v>
      </c>
      <c r="I22" s="15">
        <f t="shared" si="13"/>
        <v>0</v>
      </c>
      <c r="J22" s="15">
        <f t="shared" si="13"/>
        <v>0</v>
      </c>
      <c r="K22" s="21">
        <f t="shared" si="13"/>
        <v>0</v>
      </c>
      <c r="L22" s="21">
        <f aca="true" t="shared" si="14" ref="L22:AY22">SUM(L4:L21)</f>
        <v>0</v>
      </c>
      <c r="M22" s="21">
        <f t="shared" si="14"/>
        <v>0</v>
      </c>
      <c r="N22" s="21">
        <f t="shared" si="14"/>
        <v>0</v>
      </c>
      <c r="O22" s="21">
        <f t="shared" si="14"/>
        <v>0</v>
      </c>
      <c r="P22" s="21">
        <f t="shared" si="14"/>
        <v>0</v>
      </c>
      <c r="Q22" s="21">
        <f t="shared" si="14"/>
        <v>0</v>
      </c>
      <c r="R22" s="21">
        <f t="shared" si="14"/>
        <v>0</v>
      </c>
      <c r="S22" s="21">
        <f t="shared" si="14"/>
        <v>0</v>
      </c>
      <c r="T22" s="21">
        <f t="shared" si="14"/>
        <v>0</v>
      </c>
      <c r="U22" s="21">
        <f t="shared" si="14"/>
        <v>0</v>
      </c>
      <c r="V22" s="21">
        <f t="shared" si="14"/>
        <v>0</v>
      </c>
      <c r="W22" s="21">
        <f t="shared" si="14"/>
        <v>0</v>
      </c>
      <c r="X22" s="21">
        <f t="shared" si="14"/>
        <v>0</v>
      </c>
      <c r="Y22" s="21">
        <f t="shared" si="14"/>
        <v>0</v>
      </c>
      <c r="Z22" s="21">
        <f t="shared" si="14"/>
        <v>0</v>
      </c>
      <c r="AA22" s="21">
        <f t="shared" si="14"/>
        <v>0</v>
      </c>
      <c r="AB22" s="21">
        <f t="shared" si="14"/>
        <v>0</v>
      </c>
      <c r="AC22" s="21">
        <f t="shared" si="14"/>
        <v>0</v>
      </c>
      <c r="AD22" s="21">
        <f t="shared" si="14"/>
        <v>0</v>
      </c>
      <c r="AE22" s="21">
        <f t="shared" si="14"/>
        <v>0</v>
      </c>
      <c r="AF22" s="21">
        <f t="shared" si="14"/>
        <v>0</v>
      </c>
      <c r="AG22" s="21">
        <f t="shared" si="14"/>
        <v>0</v>
      </c>
      <c r="AH22" s="21">
        <f t="shared" si="14"/>
        <v>0</v>
      </c>
      <c r="AI22" s="21">
        <f t="shared" si="14"/>
        <v>0</v>
      </c>
      <c r="AJ22" s="21">
        <f t="shared" si="14"/>
        <v>0</v>
      </c>
      <c r="AK22" s="21">
        <f t="shared" si="14"/>
        <v>0</v>
      </c>
      <c r="AL22" s="21">
        <f t="shared" si="14"/>
        <v>0</v>
      </c>
      <c r="AM22" s="21">
        <f t="shared" si="14"/>
        <v>0</v>
      </c>
      <c r="AN22" s="21">
        <f t="shared" si="14"/>
        <v>0</v>
      </c>
      <c r="AO22" s="21">
        <f t="shared" si="14"/>
        <v>0</v>
      </c>
      <c r="AP22" s="21">
        <f t="shared" si="14"/>
        <v>0</v>
      </c>
      <c r="AQ22" s="21">
        <f t="shared" si="14"/>
        <v>0</v>
      </c>
      <c r="AR22" s="21">
        <f t="shared" si="14"/>
        <v>0</v>
      </c>
      <c r="AS22" s="21">
        <f t="shared" si="14"/>
        <v>0</v>
      </c>
      <c r="AT22" s="21">
        <f t="shared" si="14"/>
        <v>0</v>
      </c>
      <c r="AU22" s="21">
        <f t="shared" si="14"/>
        <v>0</v>
      </c>
      <c r="AV22" s="21">
        <f t="shared" si="14"/>
        <v>0</v>
      </c>
      <c r="AW22" s="21">
        <f t="shared" si="14"/>
        <v>0</v>
      </c>
      <c r="AX22" s="21"/>
      <c r="AY22" s="21">
        <f t="shared" si="14"/>
        <v>0</v>
      </c>
      <c r="AZ22" s="15"/>
    </row>
    <row r="23" spans="1:52" s="9" customFormat="1" ht="96" customHeight="1">
      <c r="A23" s="20" t="s">
        <v>74</v>
      </c>
      <c r="B23" s="20"/>
      <c r="C23" s="20"/>
      <c r="D23" s="20"/>
      <c r="E23" s="20"/>
      <c r="F23" s="20"/>
      <c r="G23" s="20"/>
      <c r="H23" s="20"/>
      <c r="I23" s="20"/>
      <c r="J23" s="2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0"/>
    </row>
    <row r="24" spans="11:51" s="9" customFormat="1" ht="1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</sheetData>
  <sheetProtection/>
  <mergeCells count="25">
    <mergeCell ref="A1:AZ1"/>
    <mergeCell ref="K2:S2"/>
    <mergeCell ref="T2:V2"/>
    <mergeCell ref="W2:Z2"/>
    <mergeCell ref="AA2:AE2"/>
    <mergeCell ref="AF2:AI2"/>
    <mergeCell ref="AJ2:AO2"/>
    <mergeCell ref="AP2:AQ2"/>
    <mergeCell ref="AR2:AT2"/>
    <mergeCell ref="A22:D22"/>
    <mergeCell ref="A23:AZ2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W2:AW3"/>
    <mergeCell ref="AX2:AX3"/>
    <mergeCell ref="AY2:AY3"/>
    <mergeCell ref="AZ2:AZ3"/>
  </mergeCells>
  <printOptions/>
  <pageMargins left="0.7" right="0.7" top="0.75" bottom="0.75" header="0.3" footer="0.3"/>
  <pageSetup horizontalDpi="1200" verticalDpi="1200" orientation="portrait" paperSize="9"/>
  <ignoredErrors>
    <ignoredError sqref="B4:B16" numberStoredAsText="1"/>
    <ignoredError sqref="S4 AE4" formulaRange="1"/>
    <ignoredError sqref="V5:V16 AP5:AQ12 AQ13 AP14:AQ1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1034D"/>
  </sheetPr>
  <dimension ref="A1:IV21"/>
  <sheetViews>
    <sheetView workbookViewId="0" topLeftCell="A1">
      <pane xSplit="4" ySplit="3" topLeftCell="E4" activePane="bottomRight" state="frozen"/>
      <selection pane="bottomRight" activeCell="K9" sqref="K9"/>
    </sheetView>
  </sheetViews>
  <sheetFormatPr defaultColWidth="9.00390625" defaultRowHeight="15"/>
  <cols>
    <col min="1" max="4" width="4.8515625" style="8" customWidth="1"/>
    <col min="5" max="5" width="18.57421875" style="8" customWidth="1"/>
    <col min="6" max="7" width="7.00390625" style="8" customWidth="1"/>
    <col min="8" max="10" width="4.8515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0" width="8.421875" style="26" customWidth="1"/>
    <col min="21" max="21" width="6.421875" style="26" customWidth="1"/>
    <col min="22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2" width="10.421875" style="26" customWidth="1"/>
    <col min="43" max="43" width="11.421875" style="26" customWidth="1"/>
    <col min="44" max="44" width="9.140625" style="26" customWidth="1"/>
    <col min="45" max="46" width="9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50" width="7.00390625" style="8" customWidth="1"/>
    <col min="51" max="16384" width="9.00390625" style="8" customWidth="1"/>
  </cols>
  <sheetData>
    <row r="1" spans="1:50" s="8" customFormat="1" ht="39.75" customHeight="1">
      <c r="A1" s="11" t="s">
        <v>100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IF(ISERROR(AP4+VLOOKUP(D4,'2019年8月工资表'!D4:AQ18,40,FALSE)),"0",AP4+VLOOKUP(D4,'2019年8月工资表'!D4:AQ18,40,FALSE))</f>
        <v>0</v>
      </c>
      <c r="AR4" s="21">
        <f>IF(AS4-AT4&lt;0,0,AS4-AT4)</f>
        <v>0</v>
      </c>
      <c r="AS4" s="24">
        <f>ROUND(MAX((AQ4-5000*10)*{0.03,0.1,0.2,0.25,0.3,0.35,0.45}-{0,2520,16920,31920,52920,85920,181920},0),2)</f>
        <v>0</v>
      </c>
      <c r="AT4" s="24">
        <f>IF(ISERROR(VLOOKUP(D4,'2019年8月工资表'!D4:AS18,42,FALSE)),"0",VLOOKUP(D4,'2019年8月工资表'!D4:AS18,42,FALSE))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IF(ISERROR(AP5+VLOOKUP(D5,'2019年8月工资表'!D5:AQ19,40,FALSE)),"0",AP5+VLOOKUP(D5,'2019年8月工资表'!D5:AQ19,40,FALSE))</f>
        <v>0</v>
      </c>
      <c r="AR5" s="21">
        <f aca="true" t="shared" si="11" ref="AR5:AR18">IF(AS5-AT5&lt;0,0,AS5-AT5)</f>
        <v>0</v>
      </c>
      <c r="AS5" s="24">
        <f>ROUND(MAX((AQ5-5000*10)*{0.03,0.1,0.2,0.25,0.3,0.35,0.45}-{0,2520,16920,31920,52920,85920,181920},0),2)</f>
        <v>0</v>
      </c>
      <c r="AT5" s="24" t="str">
        <f>IF(ISERROR(VLOOKUP(D5,'2019年8月工资表'!D5:AS19,42,FALSE)),"0",VLOOKUP(D5,'2019年8月工资表'!D5:AS19,42,FALSE))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IF(ISERROR(AP6+VLOOKUP(D6,'2019年8月工资表'!D6:AQ20,40,FALSE)),"0",AP6+VLOOKUP(D6,'2019年8月工资表'!D6:AQ20,40,FALSE))</f>
        <v>0</v>
      </c>
      <c r="AR6" s="21">
        <f t="shared" si="11"/>
        <v>0</v>
      </c>
      <c r="AS6" s="24">
        <f>ROUND(MAX((AQ6-5000*10)*{0.03,0.1,0.2,0.25,0.3,0.35,0.45}-{0,2520,16920,31920,52920,85920,181920},0),2)</f>
        <v>0</v>
      </c>
      <c r="AT6" s="24" t="str">
        <f>IF(ISERROR(VLOOKUP(D6,'2019年8月工资表'!D6:AS20,42,FALSE)),"0",VLOOKUP(D6,'2019年8月工资表'!D6:AS20,42,FALSE))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IF(ISERROR(AP7+VLOOKUP(D7,'2019年8月工资表'!D7:AQ21,40,FALSE)),"0",AP7+VLOOKUP(D7,'2019年8月工资表'!D7:AQ21,40,FALSE))</f>
        <v>0</v>
      </c>
      <c r="AR7" s="21">
        <f t="shared" si="11"/>
        <v>0</v>
      </c>
      <c r="AS7" s="24">
        <f>ROUND(MAX((AQ7-5000*10)*{0.03,0.1,0.2,0.25,0.3,0.35,0.45}-{0,2520,16920,31920,52920,85920,181920},0),2)</f>
        <v>0</v>
      </c>
      <c r="AT7" s="24" t="str">
        <f>IF(ISERROR(VLOOKUP(D7,'2019年8月工资表'!D7:AS21,42,FALSE)),"0",VLOOKUP(D7,'2019年8月工资表'!D7:AS21,42,FALSE))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IF(ISERROR(AP8+VLOOKUP(D8,'2019年8月工资表'!D8:AQ22,40,FALSE)),"0",AP8+VLOOKUP(D8,'2019年8月工资表'!D8:AQ22,40,FALSE))</f>
        <v>0</v>
      </c>
      <c r="AR8" s="21">
        <f t="shared" si="11"/>
        <v>0</v>
      </c>
      <c r="AS8" s="24">
        <f>ROUND(MAX((AQ8-5000*10)*{0.03,0.1,0.2,0.25,0.3,0.35,0.45}-{0,2520,16920,31920,52920,85920,181920},0),2)</f>
        <v>0</v>
      </c>
      <c r="AT8" s="24" t="str">
        <f>IF(ISERROR(VLOOKUP(D8,'2019年8月工资表'!D8:AS22,42,FALSE)),"0",VLOOKUP(D8,'2019年8月工资表'!D8:AS22,42,FALSE))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IF(ISERROR(AP9+VLOOKUP(D9,'2019年8月工资表'!D9:AQ23,40,FALSE)),"0",AP9+VLOOKUP(D9,'2019年8月工资表'!D9:AQ23,40,FALSE))</f>
        <v>0</v>
      </c>
      <c r="AR9" s="21">
        <f t="shared" si="11"/>
        <v>0</v>
      </c>
      <c r="AS9" s="24">
        <f>ROUND(MAX((AQ9-5000*10)*{0.03,0.1,0.2,0.25,0.3,0.35,0.45}-{0,2520,16920,31920,52920,85920,181920},0),2)</f>
        <v>0</v>
      </c>
      <c r="AT9" s="24" t="str">
        <f>IF(ISERROR(VLOOKUP(D9,'2019年8月工资表'!D9:AS23,42,FALSE)),"0",VLOOKUP(D9,'2019年8月工资表'!D9:AS23,42,FALSE))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IF(ISERROR(AP10+VLOOKUP(D10,'2019年8月工资表'!D10:AQ24,40,FALSE)),"0",AP10+VLOOKUP(D10,'2019年8月工资表'!D10:AQ24,40,FALSE))</f>
        <v>0</v>
      </c>
      <c r="AR10" s="21">
        <f t="shared" si="11"/>
        <v>0</v>
      </c>
      <c r="AS10" s="24">
        <f>ROUND(MAX((AQ10-5000*10)*{0.03,0.1,0.2,0.25,0.3,0.35,0.45}-{0,2520,16920,31920,52920,85920,181920},0),2)</f>
        <v>0</v>
      </c>
      <c r="AT10" s="24" t="str">
        <f>IF(ISERROR(VLOOKUP(D10,'2019年8月工资表'!D10:AS24,42,FALSE)),"0",VLOOKUP(D10,'2019年8月工资表'!D10:AS24,42,FALSE))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IF(ISERROR(AP11+VLOOKUP(D11,'2019年8月工资表'!D11:AQ25,40,FALSE)),"0",AP11+VLOOKUP(D11,'2019年8月工资表'!D11:AQ25,40,FALSE))</f>
        <v>0</v>
      </c>
      <c r="AR11" s="21">
        <f t="shared" si="11"/>
        <v>0</v>
      </c>
      <c r="AS11" s="24">
        <f>ROUND(MAX((AQ11-5000*10)*{0.03,0.1,0.2,0.25,0.3,0.35,0.45}-{0,2520,16920,31920,52920,85920,181920},0),2)</f>
        <v>0</v>
      </c>
      <c r="AT11" s="24" t="str">
        <f>IF(ISERROR(VLOOKUP(D11,'2019年8月工资表'!D11:AS25,42,FALSE)),"0",VLOOKUP(D11,'2019年8月工资表'!D11:AS25,42,FALSE))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IF(ISERROR(AP12+VLOOKUP(D12,'2019年8月工资表'!D12:AQ26,40,FALSE)),"0",AP12+VLOOKUP(D12,'2019年8月工资表'!D12:AQ26,40,FALSE))</f>
        <v>0</v>
      </c>
      <c r="AR12" s="21">
        <f t="shared" si="11"/>
        <v>0</v>
      </c>
      <c r="AS12" s="24">
        <f>ROUND(MAX((AQ12-5000*10)*{0.03,0.1,0.2,0.25,0.3,0.35,0.45}-{0,2520,16920,31920,52920,85920,181920},0),2)</f>
        <v>0</v>
      </c>
      <c r="AT12" s="24" t="str">
        <f>IF(ISERROR(VLOOKUP(D12,'2019年8月工资表'!D12:AS26,42,FALSE)),"0",VLOOKUP(D12,'2019年8月工资表'!D12:AS26,42,FALSE))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IF(ISERROR(AP13+VLOOKUP(D13,'2019年8月工资表'!D13:AQ27,40,FALSE)),"0",AP13+VLOOKUP(D13,'2019年8月工资表'!D13:AQ27,40,FALSE))</f>
        <v>0</v>
      </c>
      <c r="AR13" s="21">
        <f t="shared" si="11"/>
        <v>0</v>
      </c>
      <c r="AS13" s="24">
        <f>ROUND(MAX((AQ13-5000*10)*{0.03,0.1,0.2,0.25,0.3,0.35,0.45}-{0,2520,16920,31920,52920,85920,181920},0),2)</f>
        <v>0</v>
      </c>
      <c r="AT13" s="24" t="str">
        <f>IF(ISERROR(VLOOKUP(D13,'2019年8月工资表'!D13:AS27,42,FALSE)),"0",VLOOKUP(D13,'2019年8月工资表'!D13:AS27,42,FALSE))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IF(ISERROR(AP14+VLOOKUP(D14,'2019年8月工资表'!D14:AQ28,40,FALSE)),"0",AP14+VLOOKUP(D14,'2019年8月工资表'!D14:AQ28,40,FALSE))</f>
        <v>0</v>
      </c>
      <c r="AR14" s="21">
        <f t="shared" si="11"/>
        <v>0</v>
      </c>
      <c r="AS14" s="24">
        <f>ROUND(MAX((AQ14-5000*10)*{0.03,0.1,0.2,0.25,0.3,0.35,0.45}-{0,2520,16920,31920,52920,85920,181920},0),2)</f>
        <v>0</v>
      </c>
      <c r="AT14" s="24" t="str">
        <f>IF(ISERROR(VLOOKUP(D14,'2019年8月工资表'!D14:AS28,42,FALSE)),"0",VLOOKUP(D14,'2019年8月工资表'!D14:AS28,42,FALSE))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IF(ISERROR(AP15+VLOOKUP(D15,'2019年8月工资表'!D15:AQ29,40,FALSE)),"0",AP15+VLOOKUP(D15,'2019年8月工资表'!D15:AQ29,40,FALSE))</f>
        <v>0</v>
      </c>
      <c r="AR15" s="21">
        <f t="shared" si="11"/>
        <v>0</v>
      </c>
      <c r="AS15" s="24">
        <f>ROUND(MAX((AQ15-5000*10)*{0.03,0.1,0.2,0.25,0.3,0.35,0.45}-{0,2520,16920,31920,52920,85920,181920},0),2)</f>
        <v>0</v>
      </c>
      <c r="AT15" s="24" t="str">
        <f>IF(ISERROR(VLOOKUP(D15,'2019年8月工资表'!D15:AS29,42,FALSE)),"0",VLOOKUP(D15,'2019年8月工资表'!D15:AS29,42,FALSE))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IF(ISERROR(AP16+VLOOKUP(D16,'2019年8月工资表'!D16:AQ30,40,FALSE)),"0",AP16+VLOOKUP(D16,'2019年8月工资表'!D16:AQ30,40,FALSE))</f>
        <v>0</v>
      </c>
      <c r="AR16" s="21">
        <f t="shared" si="11"/>
        <v>0</v>
      </c>
      <c r="AS16" s="24">
        <f>ROUND(MAX((AQ16-5000*10)*{0.03,0.1,0.2,0.25,0.3,0.35,0.45}-{0,2520,16920,31920,52920,85920,181920},0),2)</f>
        <v>0</v>
      </c>
      <c r="AT16" s="24" t="str">
        <f>IF(ISERROR(VLOOKUP(D16,'2019年8月工资表'!D16:AS30,42,FALSE)),"0",VLOOKUP(D16,'2019年8月工资表'!D16:AS30,42,FALSE))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IF(ISERROR(AP17+VLOOKUP(D17,'2019年8月工资表'!D17:AQ31,40,FALSE)),"0",AP17+VLOOKUP(D17,'2019年8月工资表'!D17:AQ31,40,FALSE))</f>
        <v>0</v>
      </c>
      <c r="AR17" s="21">
        <f t="shared" si="11"/>
        <v>0</v>
      </c>
      <c r="AS17" s="24">
        <f>ROUND(MAX((AQ17-5000*10)*{0.03,0.1,0.2,0.25,0.3,0.35,0.45}-{0,2520,16920,31920,52920,85920,181920},0),2)</f>
        <v>0</v>
      </c>
      <c r="AT17" s="24" t="str">
        <f>IF(ISERROR(VLOOKUP(D17,'2019年8月工资表'!D17:AS31,42,FALSE)),"0",VLOOKUP(D17,'2019年8月工资表'!D17:AS31,42,FALSE))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IF(ISERROR(AP18+VLOOKUP(D18,'2019年8月工资表'!D18:AQ32,40,FALSE)),"0",AP18+VLOOKUP(D18,'2019年8月工资表'!D18:AQ32,40,FALSE))</f>
        <v>0</v>
      </c>
      <c r="AR18" s="21">
        <f t="shared" si="11"/>
        <v>0</v>
      </c>
      <c r="AS18" s="24">
        <f>ROUND(MAX((AQ18-5000*10)*{0.03,0.1,0.2,0.25,0.3,0.35,0.45}-{0,2520,16920,31920,52920,85920,181920},0),2)</f>
        <v>0</v>
      </c>
      <c r="AT18" s="24" t="str">
        <f>IF(ISERROR(VLOOKUP(D18,'2019年8月工资表'!D18:AS32,42,FALSE)),"0",VLOOKUP(D18,'2019年8月工资表'!D18:AS32,42,FALSE))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DF731"/>
  </sheetPr>
  <dimension ref="A1:IV21"/>
  <sheetViews>
    <sheetView workbookViewId="0" topLeftCell="A1">
      <pane xSplit="4" ySplit="3" topLeftCell="E4" activePane="bottomRight" state="frozen"/>
      <selection pane="bottomRight" activeCell="AB9" sqref="AB9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2" width="10.421875" style="26" customWidth="1"/>
    <col min="43" max="43" width="11.421875" style="26" customWidth="1"/>
    <col min="44" max="44" width="9.140625" style="26" customWidth="1"/>
    <col min="45" max="45" width="9.421875" style="26" customWidth="1"/>
    <col min="46" max="46" width="11.421875" style="26" customWidth="1"/>
    <col min="47" max="49" width="12.7109375" style="26" customWidth="1"/>
    <col min="50" max="16384" width="9.00390625" style="8" customWidth="1"/>
  </cols>
  <sheetData>
    <row r="1" spans="1:50" s="8" customFormat="1" ht="39.75" customHeight="1">
      <c r="A1" s="11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IF(ISERROR(AP4+VLOOKUP(D4,'2019年9月工资表'!D4:AQ18,40,FALSE)),"0",AP4+VLOOKUP(D4,'2019年9月工资表'!D4:AQ18,40,FALSE))</f>
        <v>0</v>
      </c>
      <c r="AR4" s="21">
        <f>IF(AS4-AT4&lt;0,0,AS4-AT4)</f>
        <v>0</v>
      </c>
      <c r="AS4" s="24">
        <f>ROUND(MAX((AQ4-5000*11)*{0.03,0.1,0.2,0.25,0.3,0.35,0.45}-{0,2520,16920,31920,52920,85920,181920},0),2)</f>
        <v>0</v>
      </c>
      <c r="AT4" s="24">
        <f>IF(ISERROR(VLOOKUP(D4,'2019年9月工资表'!D4:AS18,42,FALSE)),"0",VLOOKUP(D4,'2019年9月工资表'!D4:AS18,42,FALSE))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IF(ISERROR(AP5+VLOOKUP(D5,'2019年9月工资表'!D5:AQ19,40,FALSE)),"0",AP5+VLOOKUP(D5,'2019年9月工资表'!D5:AQ19,40,FALSE))</f>
        <v>0</v>
      </c>
      <c r="AR5" s="21">
        <f aca="true" t="shared" si="11" ref="AR5:AR18">IF(AS5-AT5&lt;0,0,AS5-AT5)</f>
        <v>0</v>
      </c>
      <c r="AS5" s="24">
        <f>ROUND(MAX((AQ5-5000*11)*{0.03,0.1,0.2,0.25,0.3,0.35,0.45}-{0,2520,16920,31920,52920,85920,181920},0),2)</f>
        <v>0</v>
      </c>
      <c r="AT5" s="24" t="str">
        <f>IF(ISERROR(VLOOKUP(D5,'2019年9月工资表'!D5:AS19,42,FALSE)),"0",VLOOKUP(D5,'2019年9月工资表'!D5:AS19,42,FALSE))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IF(ISERROR(AP6+VLOOKUP(D6,'2019年9月工资表'!D6:AQ20,40,FALSE)),"0",AP6+VLOOKUP(D6,'2019年9月工资表'!D6:AQ20,40,FALSE))</f>
        <v>0</v>
      </c>
      <c r="AR6" s="21">
        <f t="shared" si="11"/>
        <v>0</v>
      </c>
      <c r="AS6" s="24">
        <f>ROUND(MAX((AQ6-5000*11)*{0.03,0.1,0.2,0.25,0.3,0.35,0.45}-{0,2520,16920,31920,52920,85920,181920},0),2)</f>
        <v>0</v>
      </c>
      <c r="AT6" s="24" t="str">
        <f>IF(ISERROR(VLOOKUP(D6,'2019年9月工资表'!D6:AS20,42,FALSE)),"0",VLOOKUP(D6,'2019年9月工资表'!D6:AS20,42,FALSE))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IF(ISERROR(AP7+VLOOKUP(D7,'2019年9月工资表'!D7:AQ21,40,FALSE)),"0",AP7+VLOOKUP(D7,'2019年9月工资表'!D7:AQ21,40,FALSE))</f>
        <v>0</v>
      </c>
      <c r="AR7" s="21">
        <f t="shared" si="11"/>
        <v>0</v>
      </c>
      <c r="AS7" s="24">
        <f>ROUND(MAX((AQ7-5000*11)*{0.03,0.1,0.2,0.25,0.3,0.35,0.45}-{0,2520,16920,31920,52920,85920,181920},0),2)</f>
        <v>0</v>
      </c>
      <c r="AT7" s="24" t="str">
        <f>IF(ISERROR(VLOOKUP(D7,'2019年9月工资表'!D7:AS21,42,FALSE)),"0",VLOOKUP(D7,'2019年9月工资表'!D7:AS21,42,FALSE))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IF(ISERROR(AP8+VLOOKUP(D8,'2019年9月工资表'!D8:AQ22,40,FALSE)),"0",AP8+VLOOKUP(D8,'2019年9月工资表'!D8:AQ22,40,FALSE))</f>
        <v>0</v>
      </c>
      <c r="AR8" s="21">
        <f t="shared" si="11"/>
        <v>0</v>
      </c>
      <c r="AS8" s="24">
        <f>ROUND(MAX((AQ8-5000*11)*{0.03,0.1,0.2,0.25,0.3,0.35,0.45}-{0,2520,16920,31920,52920,85920,181920},0),2)</f>
        <v>0</v>
      </c>
      <c r="AT8" s="24" t="str">
        <f>IF(ISERROR(VLOOKUP(D8,'2019年9月工资表'!D8:AS22,42,FALSE)),"0",VLOOKUP(D8,'2019年9月工资表'!D8:AS22,42,FALSE))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IF(ISERROR(AP9+VLOOKUP(D9,'2019年9月工资表'!D9:AQ23,40,FALSE)),"0",AP9+VLOOKUP(D9,'2019年9月工资表'!D9:AQ23,40,FALSE))</f>
        <v>0</v>
      </c>
      <c r="AR9" s="21">
        <f t="shared" si="11"/>
        <v>0</v>
      </c>
      <c r="AS9" s="24">
        <f>ROUND(MAX((AQ9-5000*11)*{0.03,0.1,0.2,0.25,0.3,0.35,0.45}-{0,2520,16920,31920,52920,85920,181920},0),2)</f>
        <v>0</v>
      </c>
      <c r="AT9" s="24" t="str">
        <f>IF(ISERROR(VLOOKUP(D9,'2019年9月工资表'!D9:AS23,42,FALSE)),"0",VLOOKUP(D9,'2019年9月工资表'!D9:AS23,42,FALSE))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IF(ISERROR(AP10+VLOOKUP(D10,'2019年9月工资表'!D10:AQ24,40,FALSE)),"0",AP10+VLOOKUP(D10,'2019年9月工资表'!D10:AQ24,40,FALSE))</f>
        <v>0</v>
      </c>
      <c r="AR10" s="21">
        <f t="shared" si="11"/>
        <v>0</v>
      </c>
      <c r="AS10" s="24">
        <f>ROUND(MAX((AQ10-5000*11)*{0.03,0.1,0.2,0.25,0.3,0.35,0.45}-{0,2520,16920,31920,52920,85920,181920},0),2)</f>
        <v>0</v>
      </c>
      <c r="AT10" s="24" t="str">
        <f>IF(ISERROR(VLOOKUP(D10,'2019年9月工资表'!D10:AS24,42,FALSE)),"0",VLOOKUP(D10,'2019年9月工资表'!D10:AS24,42,FALSE))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IF(ISERROR(AP11+VLOOKUP(D11,'2019年9月工资表'!D11:AQ25,40,FALSE)),"0",AP11+VLOOKUP(D11,'2019年9月工资表'!D11:AQ25,40,FALSE))</f>
        <v>0</v>
      </c>
      <c r="AR11" s="21">
        <f t="shared" si="11"/>
        <v>0</v>
      </c>
      <c r="AS11" s="24">
        <f>ROUND(MAX((AQ11-5000*11)*{0.03,0.1,0.2,0.25,0.3,0.35,0.45}-{0,2520,16920,31920,52920,85920,181920},0),2)</f>
        <v>0</v>
      </c>
      <c r="AT11" s="24" t="str">
        <f>IF(ISERROR(VLOOKUP(D11,'2019年9月工资表'!D11:AS25,42,FALSE)),"0",VLOOKUP(D11,'2019年9月工资表'!D11:AS25,42,FALSE))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IF(ISERROR(AP12+VLOOKUP(D12,'2019年9月工资表'!D12:AQ26,40,FALSE)),"0",AP12+VLOOKUP(D12,'2019年9月工资表'!D12:AQ26,40,FALSE))</f>
        <v>0</v>
      </c>
      <c r="AR12" s="21">
        <f t="shared" si="11"/>
        <v>0</v>
      </c>
      <c r="AS12" s="24">
        <f>ROUND(MAX((AQ12-5000*11)*{0.03,0.1,0.2,0.25,0.3,0.35,0.45}-{0,2520,16920,31920,52920,85920,181920},0),2)</f>
        <v>0</v>
      </c>
      <c r="AT12" s="24" t="str">
        <f>IF(ISERROR(VLOOKUP(D12,'2019年9月工资表'!D12:AS26,42,FALSE)),"0",VLOOKUP(D12,'2019年9月工资表'!D12:AS26,42,FALSE))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IF(ISERROR(AP13+VLOOKUP(D13,'2019年9月工资表'!D13:AQ27,40,FALSE)),"0",AP13+VLOOKUP(D13,'2019年9月工资表'!D13:AQ27,40,FALSE))</f>
        <v>0</v>
      </c>
      <c r="AR13" s="21">
        <f t="shared" si="11"/>
        <v>0</v>
      </c>
      <c r="AS13" s="24">
        <f>ROUND(MAX((AQ13-5000*11)*{0.03,0.1,0.2,0.25,0.3,0.35,0.45}-{0,2520,16920,31920,52920,85920,181920},0),2)</f>
        <v>0</v>
      </c>
      <c r="AT13" s="24" t="str">
        <f>IF(ISERROR(VLOOKUP(D13,'2019年9月工资表'!D13:AS27,42,FALSE)),"0",VLOOKUP(D13,'2019年9月工资表'!D13:AS27,42,FALSE))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IF(ISERROR(AP14+VLOOKUP(D14,'2019年9月工资表'!D14:AQ28,40,FALSE)),"0",AP14+VLOOKUP(D14,'2019年9月工资表'!D14:AQ28,40,FALSE))</f>
        <v>0</v>
      </c>
      <c r="AR14" s="21">
        <f t="shared" si="11"/>
        <v>0</v>
      </c>
      <c r="AS14" s="24">
        <f>ROUND(MAX((AQ14-5000*11)*{0.03,0.1,0.2,0.25,0.3,0.35,0.45}-{0,2520,16920,31920,52920,85920,181920},0),2)</f>
        <v>0</v>
      </c>
      <c r="AT14" s="24" t="str">
        <f>IF(ISERROR(VLOOKUP(D14,'2019年9月工资表'!D14:AS28,42,FALSE)),"0",VLOOKUP(D14,'2019年9月工资表'!D14:AS28,42,FALSE))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IF(ISERROR(AP15+VLOOKUP(D15,'2019年9月工资表'!D15:AQ29,40,FALSE)),"0",AP15+VLOOKUP(D15,'2019年9月工资表'!D15:AQ29,40,FALSE))</f>
        <v>0</v>
      </c>
      <c r="AR15" s="21">
        <f t="shared" si="11"/>
        <v>0</v>
      </c>
      <c r="AS15" s="24">
        <f>ROUND(MAX((AQ15-5000*11)*{0.03,0.1,0.2,0.25,0.3,0.35,0.45}-{0,2520,16920,31920,52920,85920,181920},0),2)</f>
        <v>0</v>
      </c>
      <c r="AT15" s="24" t="str">
        <f>IF(ISERROR(VLOOKUP(D15,'2019年9月工资表'!D15:AS29,42,FALSE)),"0",VLOOKUP(D15,'2019年9月工资表'!D15:AS29,42,FALSE))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IF(ISERROR(AP16+VLOOKUP(D16,'2019年9月工资表'!D16:AQ30,40,FALSE)),"0",AP16+VLOOKUP(D16,'2019年9月工资表'!D16:AQ30,40,FALSE))</f>
        <v>0</v>
      </c>
      <c r="AR16" s="21">
        <f t="shared" si="11"/>
        <v>0</v>
      </c>
      <c r="AS16" s="24">
        <f>ROUND(MAX((AQ16-5000*11)*{0.03,0.1,0.2,0.25,0.3,0.35,0.45}-{0,2520,16920,31920,52920,85920,181920},0),2)</f>
        <v>0</v>
      </c>
      <c r="AT16" s="24" t="str">
        <f>IF(ISERROR(VLOOKUP(D16,'2019年9月工资表'!D16:AS30,42,FALSE)),"0",VLOOKUP(D16,'2019年9月工资表'!D16:AS30,42,FALSE))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IF(ISERROR(AP17+VLOOKUP(D17,'2019年9月工资表'!D17:AQ31,40,FALSE)),"0",AP17+VLOOKUP(D17,'2019年9月工资表'!D17:AQ31,40,FALSE))</f>
        <v>0</v>
      </c>
      <c r="AR17" s="21">
        <f t="shared" si="11"/>
        <v>0</v>
      </c>
      <c r="AS17" s="24">
        <f>ROUND(MAX((AQ17-5000*11)*{0.03,0.1,0.2,0.25,0.3,0.35,0.45}-{0,2520,16920,31920,52920,85920,181920},0),2)</f>
        <v>0</v>
      </c>
      <c r="AT17" s="24" t="str">
        <f>IF(ISERROR(VLOOKUP(D17,'2019年9月工资表'!D17:AS31,42,FALSE)),"0",VLOOKUP(D17,'2019年9月工资表'!D17:AS31,42,FALSE))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IF(ISERROR(AP18+VLOOKUP(D18,'2019年9月工资表'!D18:AQ32,40,FALSE)),"0",AP18+VLOOKUP(D18,'2019年9月工资表'!D18:AQ32,40,FALSE))</f>
        <v>0</v>
      </c>
      <c r="AR18" s="21">
        <f t="shared" si="11"/>
        <v>0</v>
      </c>
      <c r="AS18" s="24">
        <f>ROUND(MAX((AQ18-5000*11)*{0.03,0.1,0.2,0.25,0.3,0.35,0.45}-{0,2520,16920,31920,52920,85920,181920},0),2)</f>
        <v>0</v>
      </c>
      <c r="AT18" s="24" t="str">
        <f>IF(ISERROR(VLOOKUP(D18,'2019年9月工资表'!D18:AS32,42,FALSE)),"0",VLOOKUP(D18,'2019年9月工资表'!D18:AS32,42,FALSE))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53C93D"/>
  </sheetPr>
  <dimension ref="A1:IV20"/>
  <sheetViews>
    <sheetView workbookViewId="0" topLeftCell="A1">
      <pane xSplit="4" ySplit="3" topLeftCell="E4" activePane="bottomRight" state="frozen"/>
      <selection pane="bottomRight" activeCell="AA9" sqref="AA9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8" customWidth="1"/>
    <col min="12" max="12" width="9.421875" style="8" customWidth="1"/>
    <col min="13" max="17" width="8.421875" style="8" customWidth="1"/>
    <col min="18" max="18" width="7.421875" style="8" customWidth="1"/>
    <col min="19" max="19" width="10.421875" style="8" customWidth="1"/>
    <col min="20" max="22" width="8.421875" style="8" customWidth="1"/>
    <col min="23" max="23" width="8.140625" style="8" customWidth="1"/>
    <col min="24" max="26" width="6.421875" style="8" customWidth="1"/>
    <col min="27" max="27" width="8.421875" style="8" customWidth="1"/>
    <col min="28" max="29" width="6.421875" style="8" customWidth="1"/>
    <col min="30" max="30" width="7.00390625" style="8" customWidth="1"/>
    <col min="31" max="31" width="8.421875" style="8" customWidth="1"/>
    <col min="32" max="33" width="7.00390625" style="8" customWidth="1"/>
    <col min="34" max="34" width="9.140625" style="8" customWidth="1"/>
    <col min="35" max="41" width="6.421875" style="8" customWidth="1"/>
    <col min="42" max="42" width="10.421875" style="8" customWidth="1"/>
    <col min="43" max="43" width="11.421875" style="8" customWidth="1"/>
    <col min="44" max="44" width="9.140625" style="8" customWidth="1"/>
    <col min="45" max="46" width="9.421875" style="8" customWidth="1"/>
    <col min="47" max="47" width="10.421875" style="8" customWidth="1"/>
    <col min="48" max="49" width="12.7109375" style="8" customWidth="1"/>
    <col min="50" max="16384" width="9.00390625" style="8" customWidth="1"/>
  </cols>
  <sheetData>
    <row r="1" spans="1:50" s="8" customFormat="1" ht="39.75" customHeight="1">
      <c r="A1" s="11" t="s">
        <v>102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/>
      <c r="M2" s="12"/>
      <c r="N2" s="12"/>
      <c r="O2" s="12"/>
      <c r="P2" s="12"/>
      <c r="Q2" s="12"/>
      <c r="R2" s="12"/>
      <c r="S2" s="12"/>
      <c r="T2" s="22" t="s">
        <v>12</v>
      </c>
      <c r="U2" s="23"/>
      <c r="V2" s="23"/>
      <c r="W2" s="22" t="s">
        <v>13</v>
      </c>
      <c r="X2" s="23"/>
      <c r="Y2" s="23"/>
      <c r="Z2" s="25"/>
      <c r="AA2" s="12" t="s">
        <v>14</v>
      </c>
      <c r="AB2" s="12"/>
      <c r="AC2" s="12"/>
      <c r="AD2" s="12"/>
      <c r="AE2" s="12"/>
      <c r="AF2" s="22" t="s">
        <v>15</v>
      </c>
      <c r="AG2" s="23"/>
      <c r="AH2" s="23"/>
      <c r="AI2" s="25"/>
      <c r="AJ2" s="12" t="s">
        <v>16</v>
      </c>
      <c r="AK2" s="12"/>
      <c r="AL2" s="12"/>
      <c r="AM2" s="12"/>
      <c r="AN2" s="12"/>
      <c r="AO2" s="12"/>
      <c r="AP2" s="22" t="s">
        <v>17</v>
      </c>
      <c r="AQ2" s="25"/>
      <c r="AR2" s="12" t="s">
        <v>18</v>
      </c>
      <c r="AS2" s="12"/>
      <c r="AT2" s="12"/>
      <c r="AU2" s="12" t="s">
        <v>19</v>
      </c>
      <c r="AV2" s="13" t="s">
        <v>20</v>
      </c>
      <c r="AW2" s="13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12" t="s">
        <v>87</v>
      </c>
      <c r="L3" s="12" t="s">
        <v>88</v>
      </c>
      <c r="M3" s="12" t="s">
        <v>89</v>
      </c>
      <c r="N3" s="12" t="s">
        <v>90</v>
      </c>
      <c r="O3" s="12" t="s">
        <v>27</v>
      </c>
      <c r="P3" s="12" t="s">
        <v>91</v>
      </c>
      <c r="Q3" s="12" t="s">
        <v>29</v>
      </c>
      <c r="R3" s="12" t="s">
        <v>92</v>
      </c>
      <c r="S3" s="12" t="s">
        <v>31</v>
      </c>
      <c r="T3" s="12" t="s">
        <v>32</v>
      </c>
      <c r="U3" s="12" t="s">
        <v>33</v>
      </c>
      <c r="V3" s="12" t="s">
        <v>31</v>
      </c>
      <c r="W3" s="12" t="s">
        <v>34</v>
      </c>
      <c r="X3" s="12" t="s">
        <v>35</v>
      </c>
      <c r="Y3" s="12" t="s">
        <v>36</v>
      </c>
      <c r="Z3" s="12" t="s">
        <v>31</v>
      </c>
      <c r="AA3" s="12" t="s">
        <v>37</v>
      </c>
      <c r="AB3" s="12" t="s">
        <v>38</v>
      </c>
      <c r="AC3" s="12" t="s">
        <v>39</v>
      </c>
      <c r="AD3" s="12" t="s">
        <v>40</v>
      </c>
      <c r="AE3" s="12" t="s">
        <v>31</v>
      </c>
      <c r="AF3" s="12" t="s">
        <v>41</v>
      </c>
      <c r="AG3" s="12" t="s">
        <v>42</v>
      </c>
      <c r="AH3" s="12" t="s">
        <v>43</v>
      </c>
      <c r="AI3" s="12" t="s">
        <v>31</v>
      </c>
      <c r="AJ3" s="12" t="s">
        <v>44</v>
      </c>
      <c r="AK3" s="12" t="s">
        <v>45</v>
      </c>
      <c r="AL3" s="12" t="s">
        <v>46</v>
      </c>
      <c r="AM3" s="12" t="s">
        <v>47</v>
      </c>
      <c r="AN3" s="12" t="s">
        <v>48</v>
      </c>
      <c r="AO3" s="12" t="s">
        <v>31</v>
      </c>
      <c r="AP3" s="12" t="s">
        <v>49</v>
      </c>
      <c r="AQ3" s="12" t="s">
        <v>50</v>
      </c>
      <c r="AR3" s="12" t="s">
        <v>51</v>
      </c>
      <c r="AS3" s="12" t="s">
        <v>52</v>
      </c>
      <c r="AT3" s="12" t="s">
        <v>53</v>
      </c>
      <c r="AU3" s="12"/>
      <c r="AV3" s="14"/>
      <c r="AW3" s="14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IF(ISERROR(AP4+VLOOKUP(D4,'2019年10月工资表'!D4:AQ18,40,FALSE)),"0",AP4+VLOOKUP(D4,'2019年10月工资表'!D4:AQ18,40,FALSE))</f>
        <v>0</v>
      </c>
      <c r="AR4" s="21">
        <f>IF(AS4-AT4&lt;0,0,AS4-AT4)</f>
        <v>0</v>
      </c>
      <c r="AS4" s="24">
        <f>ROUND(MAX((AQ4-5000*12)*{0.03,0.1,0.2,0.25,0.3,0.35,0.45}-{0,2520,16920,31920,52920,85920,181920},0),2)</f>
        <v>0</v>
      </c>
      <c r="AT4" s="24">
        <f>IF(ISERROR(VLOOKUP(D4,'2019年10月工资表'!D4:AS18,42,FALSE)),"0",VLOOKUP(D4,'2019年10月工资表'!D4:AS18,42,FALSE))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IF(ISERROR(AP5+VLOOKUP(D5,'2019年10月工资表'!D5:AQ19,40,FALSE)),"0",AP5+VLOOKUP(D5,'2019年10月工资表'!D5:AQ19,40,FALSE))</f>
        <v>0</v>
      </c>
      <c r="AR5" s="21">
        <f aca="true" t="shared" si="11" ref="AR5:AR18">IF(AS5-AT5&lt;0,0,AS5-AT5)</f>
        <v>0</v>
      </c>
      <c r="AS5" s="24">
        <f>ROUND(MAX((AQ5-5000*12)*{0.03,0.1,0.2,0.25,0.3,0.35,0.45}-{0,2520,16920,31920,52920,85920,181920},0),2)</f>
        <v>0</v>
      </c>
      <c r="AT5" s="24" t="str">
        <f>IF(ISERROR(VLOOKUP(D5,'2019年10月工资表'!D5:AS19,42,FALSE)),"0",VLOOKUP(D5,'2019年10月工资表'!D5:AS19,42,FALSE))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IF(ISERROR(AP6+VLOOKUP(D6,'2019年10月工资表'!D6:AQ20,40,FALSE)),"0",AP6+VLOOKUP(D6,'2019年10月工资表'!D6:AQ20,40,FALSE))</f>
        <v>0</v>
      </c>
      <c r="AR6" s="21">
        <f t="shared" si="11"/>
        <v>0</v>
      </c>
      <c r="AS6" s="24">
        <f>ROUND(MAX((AQ6-5000*12)*{0.03,0.1,0.2,0.25,0.3,0.35,0.45}-{0,2520,16920,31920,52920,85920,181920},0),2)</f>
        <v>0</v>
      </c>
      <c r="AT6" s="24" t="str">
        <f>IF(ISERROR(VLOOKUP(D6,'2019年10月工资表'!D6:AS20,42,FALSE)),"0",VLOOKUP(D6,'2019年10月工资表'!D6:AS20,42,FALSE))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IF(ISERROR(AP7+VLOOKUP(D7,'2019年10月工资表'!D7:AQ21,40,FALSE)),"0",AP7+VLOOKUP(D7,'2019年10月工资表'!D7:AQ21,40,FALSE))</f>
        <v>0</v>
      </c>
      <c r="AR7" s="21">
        <f t="shared" si="11"/>
        <v>0</v>
      </c>
      <c r="AS7" s="24">
        <f>ROUND(MAX((AQ7-5000*12)*{0.03,0.1,0.2,0.25,0.3,0.35,0.45}-{0,2520,16920,31920,52920,85920,181920},0),2)</f>
        <v>0</v>
      </c>
      <c r="AT7" s="24" t="str">
        <f>IF(ISERROR(VLOOKUP(D7,'2019年10月工资表'!D7:AS21,42,FALSE)),"0",VLOOKUP(D7,'2019年10月工资表'!D7:AS21,42,FALSE))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IF(ISERROR(AP8+VLOOKUP(D8,'2019年10月工资表'!D8:AQ22,40,FALSE)),"0",AP8+VLOOKUP(D8,'2019年10月工资表'!D8:AQ22,40,FALSE))</f>
        <v>0</v>
      </c>
      <c r="AR8" s="21">
        <f t="shared" si="11"/>
        <v>0</v>
      </c>
      <c r="AS8" s="24">
        <f>ROUND(MAX((AQ8-5000*12)*{0.03,0.1,0.2,0.25,0.3,0.35,0.45}-{0,2520,16920,31920,52920,85920,181920},0),2)</f>
        <v>0</v>
      </c>
      <c r="AT8" s="24" t="str">
        <f>IF(ISERROR(VLOOKUP(D8,'2019年10月工资表'!D8:AS22,42,FALSE)),"0",VLOOKUP(D8,'2019年10月工资表'!D8:AS22,42,FALSE))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IF(ISERROR(AP9+VLOOKUP(D9,'2019年10月工资表'!D9:AQ23,40,FALSE)),"0",AP9+VLOOKUP(D9,'2019年10月工资表'!D9:AQ23,40,FALSE))</f>
        <v>0</v>
      </c>
      <c r="AR9" s="21">
        <f t="shared" si="11"/>
        <v>0</v>
      </c>
      <c r="AS9" s="24">
        <f>ROUND(MAX((AQ9-5000*12)*{0.03,0.1,0.2,0.25,0.3,0.35,0.45}-{0,2520,16920,31920,52920,85920,181920},0),2)</f>
        <v>0</v>
      </c>
      <c r="AT9" s="24" t="str">
        <f>IF(ISERROR(VLOOKUP(D9,'2019年10月工资表'!D9:AS23,42,FALSE)),"0",VLOOKUP(D9,'2019年10月工资表'!D9:AS23,42,FALSE))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IF(ISERROR(AP10+VLOOKUP(D10,'2019年10月工资表'!D10:AQ24,40,FALSE)),"0",AP10+VLOOKUP(D10,'2019年10月工资表'!D10:AQ24,40,FALSE))</f>
        <v>0</v>
      </c>
      <c r="AR10" s="21">
        <f t="shared" si="11"/>
        <v>0</v>
      </c>
      <c r="AS10" s="24">
        <f>ROUND(MAX((AQ10-5000*12)*{0.03,0.1,0.2,0.25,0.3,0.35,0.45}-{0,2520,16920,31920,52920,85920,181920},0),2)</f>
        <v>0</v>
      </c>
      <c r="AT10" s="24" t="str">
        <f>IF(ISERROR(VLOOKUP(D10,'2019年10月工资表'!D10:AS24,42,FALSE)),"0",VLOOKUP(D10,'2019年10月工资表'!D10:AS24,42,FALSE))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IF(ISERROR(AP11+VLOOKUP(D11,'2019年10月工资表'!D11:AQ25,40,FALSE)),"0",AP11+VLOOKUP(D11,'2019年10月工资表'!D11:AQ25,40,FALSE))</f>
        <v>0</v>
      </c>
      <c r="AR11" s="21">
        <f t="shared" si="11"/>
        <v>0</v>
      </c>
      <c r="AS11" s="24">
        <f>ROUND(MAX((AQ11-5000*12)*{0.03,0.1,0.2,0.25,0.3,0.35,0.45}-{0,2520,16920,31920,52920,85920,181920},0),2)</f>
        <v>0</v>
      </c>
      <c r="AT11" s="24" t="str">
        <f>IF(ISERROR(VLOOKUP(D11,'2019年10月工资表'!D11:AS25,42,FALSE)),"0",VLOOKUP(D11,'2019年10月工资表'!D11:AS25,42,FALSE))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IF(ISERROR(AP12+VLOOKUP(D12,'2019年10月工资表'!D12:AQ26,40,FALSE)),"0",AP12+VLOOKUP(D12,'2019年10月工资表'!D12:AQ26,40,FALSE))</f>
        <v>0</v>
      </c>
      <c r="AR12" s="21">
        <f t="shared" si="11"/>
        <v>0</v>
      </c>
      <c r="AS12" s="24">
        <f>ROUND(MAX((AQ12-5000*12)*{0.03,0.1,0.2,0.25,0.3,0.35,0.45}-{0,2520,16920,31920,52920,85920,181920},0),2)</f>
        <v>0</v>
      </c>
      <c r="AT12" s="24" t="str">
        <f>IF(ISERROR(VLOOKUP(D12,'2019年10月工资表'!D12:AS26,42,FALSE)),"0",VLOOKUP(D12,'2019年10月工资表'!D12:AS26,42,FALSE))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IF(ISERROR(AP13+VLOOKUP(D13,'2019年10月工资表'!D13:AQ27,40,FALSE)),"0",AP13+VLOOKUP(D13,'2019年10月工资表'!D13:AQ27,40,FALSE))</f>
        <v>0</v>
      </c>
      <c r="AR13" s="21">
        <f t="shared" si="11"/>
        <v>0</v>
      </c>
      <c r="AS13" s="24">
        <f>ROUND(MAX((AQ13-5000*12)*{0.03,0.1,0.2,0.25,0.3,0.35,0.45}-{0,2520,16920,31920,52920,85920,181920},0),2)</f>
        <v>0</v>
      </c>
      <c r="AT13" s="24" t="str">
        <f>IF(ISERROR(VLOOKUP(D13,'2019年10月工资表'!D13:AS27,42,FALSE)),"0",VLOOKUP(D13,'2019年10月工资表'!D13:AS27,42,FALSE))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IF(ISERROR(AP14+VLOOKUP(D14,'2019年10月工资表'!D14:AQ28,40,FALSE)),"0",AP14+VLOOKUP(D14,'2019年10月工资表'!D14:AQ28,40,FALSE))</f>
        <v>0</v>
      </c>
      <c r="AR14" s="21">
        <f t="shared" si="11"/>
        <v>0</v>
      </c>
      <c r="AS14" s="24">
        <f>ROUND(MAX((AQ14-5000*12)*{0.03,0.1,0.2,0.25,0.3,0.35,0.45}-{0,2520,16920,31920,52920,85920,181920},0),2)</f>
        <v>0</v>
      </c>
      <c r="AT14" s="24" t="str">
        <f>IF(ISERROR(VLOOKUP(D14,'2019年10月工资表'!D14:AS28,42,FALSE)),"0",VLOOKUP(D14,'2019年10月工资表'!D14:AS28,42,FALSE))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IF(ISERROR(AP15+VLOOKUP(D15,'2019年10月工资表'!D15:AQ29,40,FALSE)),"0",AP15+VLOOKUP(D15,'2019年10月工资表'!D15:AQ29,40,FALSE))</f>
        <v>0</v>
      </c>
      <c r="AR15" s="21">
        <f t="shared" si="11"/>
        <v>0</v>
      </c>
      <c r="AS15" s="24">
        <f>ROUND(MAX((AQ15-5000*12)*{0.03,0.1,0.2,0.25,0.3,0.35,0.45}-{0,2520,16920,31920,52920,85920,181920},0),2)</f>
        <v>0</v>
      </c>
      <c r="AT15" s="24" t="str">
        <f>IF(ISERROR(VLOOKUP(D15,'2019年10月工资表'!D15:AS29,42,FALSE)),"0",VLOOKUP(D15,'2019年10月工资表'!D15:AS29,42,FALSE))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IF(ISERROR(AP16+VLOOKUP(D16,'2019年10月工资表'!D16:AQ30,40,FALSE)),"0",AP16+VLOOKUP(D16,'2019年10月工资表'!D16:AQ30,40,FALSE))</f>
        <v>0</v>
      </c>
      <c r="AR16" s="21">
        <f t="shared" si="11"/>
        <v>0</v>
      </c>
      <c r="AS16" s="24">
        <f>ROUND(MAX((AQ16-5000*12)*{0.03,0.1,0.2,0.25,0.3,0.35,0.45}-{0,2520,16920,31920,52920,85920,181920},0),2)</f>
        <v>0</v>
      </c>
      <c r="AT16" s="24" t="str">
        <f>IF(ISERROR(VLOOKUP(D16,'2019年10月工资表'!D16:AS30,42,FALSE)),"0",VLOOKUP(D16,'2019年10月工资表'!D16:AS30,42,FALSE))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IF(ISERROR(AP17+VLOOKUP(D17,'2019年10月工资表'!D17:AQ31,40,FALSE)),"0",AP17+VLOOKUP(D17,'2019年10月工资表'!D17:AQ31,40,FALSE))</f>
        <v>0</v>
      </c>
      <c r="AR17" s="21">
        <f t="shared" si="11"/>
        <v>0</v>
      </c>
      <c r="AS17" s="24">
        <f>ROUND(MAX((AQ17-5000*12)*{0.03,0.1,0.2,0.25,0.3,0.35,0.45}-{0,2520,16920,31920,52920,85920,181920},0),2)</f>
        <v>0</v>
      </c>
      <c r="AT17" s="24" t="str">
        <f>IF(ISERROR(VLOOKUP(D17,'2019年10月工资表'!D17:AS31,42,FALSE)),"0",VLOOKUP(D17,'2019年10月工资表'!D17:AS31,42,FALSE))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IF(ISERROR(AP18+VLOOKUP(D18,'2019年10月工资表'!D18:AQ32,40,FALSE)),"0",AP18+VLOOKUP(D18,'2019年10月工资表'!D18:AQ32,40,FALSE))</f>
        <v>0</v>
      </c>
      <c r="AR18" s="21">
        <f t="shared" si="11"/>
        <v>0</v>
      </c>
      <c r="AS18" s="24">
        <f>ROUND(MAX((AQ18-5000*12)*{0.03,0.1,0.2,0.25,0.3,0.35,0.45}-{0,2520,16920,31920,52920,85920,181920},0),2)</f>
        <v>0</v>
      </c>
      <c r="AT18" s="24" t="str">
        <f>IF(ISERROR(VLOOKUP(D18,'2019年10月工资表'!D18:AS32,42,FALSE)),"0",VLOOKUP(D18,'2019年10月工资表'!D18:AS32,42,FALSE))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="9" customFormat="1" ht="15"/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115" zoomScaleNormal="115" zoomScaleSheetLayoutView="100" workbookViewId="0" topLeftCell="A1">
      <selection activeCell="P3" sqref="P3"/>
    </sheetView>
  </sheetViews>
  <sheetFormatPr defaultColWidth="8.8515625" defaultRowHeight="15"/>
  <cols>
    <col min="1" max="11" width="8.8515625" style="1" customWidth="1"/>
  </cols>
  <sheetData>
    <row r="1" spans="1:13" ht="4.5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" customHeight="1">
      <c r="A3" s="3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51.75" customHeight="1">
      <c r="A4" s="5" t="s">
        <v>105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</row>
  </sheetData>
  <sheetProtection/>
  <mergeCells count="3">
    <mergeCell ref="A3:M3"/>
    <mergeCell ref="A4:M4"/>
    <mergeCell ref="A1:M2"/>
  </mergeCells>
  <hyperlinks>
    <hyperlink ref="N3:O4" r:id="rId1" display="https://user.1renshi.com/Account/Login"/>
    <hyperlink ref="A4:M4" r:id="rId2" display="立即试用"/>
  </hyperlinks>
  <printOptions/>
  <pageMargins left="0.75" right="0.75" top="1" bottom="1" header="0.51" footer="0.51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24"/>
  <sheetViews>
    <sheetView workbookViewId="0" topLeftCell="A1">
      <pane xSplit="4" ySplit="3" topLeftCell="U4" activePane="bottomRight" state="frozen"/>
      <selection pane="bottomRight" activeCell="AU4" sqref="AU4:AV6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19.7109375" style="8" customWidth="1"/>
    <col min="5" max="5" width="20.28125" style="8" customWidth="1"/>
    <col min="6" max="10" width="5.140625" style="8" hidden="1" customWidth="1"/>
    <col min="11" max="11" width="10.421875" style="26" customWidth="1"/>
    <col min="12" max="12" width="9.421875" style="26" hidden="1" customWidth="1"/>
    <col min="13" max="13" width="8.421875" style="26" hidden="1" customWidth="1"/>
    <col min="14" max="14" width="8.421875" style="26" customWidth="1"/>
    <col min="15" max="17" width="8.421875" style="26" hidden="1" customWidth="1"/>
    <col min="18" max="18" width="7.421875" style="26" hidden="1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7.421875" style="26" customWidth="1"/>
    <col min="30" max="30" width="7.00390625" style="26" customWidth="1"/>
    <col min="31" max="31" width="8.421875" style="26" customWidth="1"/>
    <col min="32" max="33" width="7.00390625" style="26" hidden="1" customWidth="1"/>
    <col min="34" max="34" width="9.140625" style="26" hidden="1" customWidth="1"/>
    <col min="35" max="35" width="6.421875" style="26" hidden="1" customWidth="1"/>
    <col min="36" max="41" width="6.421875" style="26" customWidth="1"/>
    <col min="42" max="43" width="10.421875" style="26" customWidth="1"/>
    <col min="44" max="45" width="9.140625" style="26" customWidth="1"/>
    <col min="46" max="48" width="8.421875" style="26" customWidth="1"/>
    <col min="49" max="49" width="10.421875" style="26" customWidth="1"/>
    <col min="50" max="50" width="6.421875" style="26" customWidth="1"/>
    <col min="51" max="51" width="10.421875" style="26" customWidth="1"/>
    <col min="52" max="16384" width="9.00390625" style="8" customWidth="1"/>
  </cols>
  <sheetData>
    <row r="1" spans="1:52" s="8" customFormat="1" ht="39.75" customHeight="1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11"/>
    </row>
    <row r="2" spans="1:255" s="9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/>
      <c r="AV2" s="28"/>
      <c r="AW2" s="28" t="s">
        <v>19</v>
      </c>
      <c r="AX2" s="34" t="s">
        <v>20</v>
      </c>
      <c r="AY2" s="34" t="s">
        <v>21</v>
      </c>
      <c r="AZ2" s="12" t="s">
        <v>22</v>
      </c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49" t="s">
        <v>23</v>
      </c>
      <c r="L3" s="28" t="s">
        <v>76</v>
      </c>
      <c r="M3" s="28" t="s">
        <v>25</v>
      </c>
      <c r="N3" s="28" t="s">
        <v>24</v>
      </c>
      <c r="O3" s="28" t="s">
        <v>27</v>
      </c>
      <c r="P3" s="28" t="s">
        <v>28</v>
      </c>
      <c r="Q3" s="28" t="s">
        <v>29</v>
      </c>
      <c r="R3" s="28" t="s">
        <v>30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 t="s">
        <v>54</v>
      </c>
      <c r="AV3" s="28" t="s">
        <v>55</v>
      </c>
      <c r="AW3" s="28"/>
      <c r="AX3" s="35"/>
      <c r="AY3" s="35"/>
      <c r="AZ3" s="12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52" s="10" customFormat="1" ht="23.25" customHeight="1">
      <c r="A4" s="15">
        <v>1</v>
      </c>
      <c r="B4" s="16" t="s">
        <v>56</v>
      </c>
      <c r="C4" s="15"/>
      <c r="D4" s="15"/>
      <c r="E4" s="16"/>
      <c r="F4" s="15"/>
      <c r="G4" s="15"/>
      <c r="H4" s="15"/>
      <c r="I4" s="15"/>
      <c r="J4" s="15"/>
      <c r="K4" s="21"/>
      <c r="L4" s="21"/>
      <c r="M4" s="21"/>
      <c r="N4" s="21"/>
      <c r="O4" s="21"/>
      <c r="P4" s="21"/>
      <c r="Q4" s="21"/>
      <c r="R4" s="21"/>
      <c r="S4" s="21">
        <f aca="true" t="shared" si="0" ref="S4:S21">SUM(K4:R4)</f>
        <v>0</v>
      </c>
      <c r="T4" s="21">
        <f>IF(ISERROR(K4/F4*H4),"",K4/F4*H4)</f>
      </c>
      <c r="U4" s="21">
        <f>IF(ISERROR(K4/F4*I4*0.4),"",K4/F4*I4*0.4)</f>
      </c>
      <c r="V4" s="24">
        <f aca="true" t="shared" si="1" ref="V4:V21">SUM(T4:U4)</f>
        <v>0</v>
      </c>
      <c r="W4" s="24">
        <v>0</v>
      </c>
      <c r="X4" s="21">
        <v>0</v>
      </c>
      <c r="Y4" s="21">
        <v>0</v>
      </c>
      <c r="Z4" s="21">
        <f aca="true" t="shared" si="2" ref="Z4:Z21">SUM(W4:Y4)</f>
        <v>0</v>
      </c>
      <c r="AA4" s="21"/>
      <c r="AB4" s="21"/>
      <c r="AC4" s="21"/>
      <c r="AD4" s="21"/>
      <c r="AE4" s="21">
        <f aca="true" t="shared" si="3" ref="AE4:AE21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21">SUM(AJ4:AN4)</f>
        <v>0</v>
      </c>
      <c r="AP4" s="21">
        <f>S4-V4-Z4-AE4-AI4-AO4</f>
        <v>0</v>
      </c>
      <c r="AQ4" s="21" t="str">
        <f>IF(ISERROR(AP4+VLOOKUP(D4,'2018年12月工资表'!D4:AQ21,40,FALSE)),"0",AP4+VLOOKUP(D4,'2018年12月工资表'!D4:AQ21,40,FALSE))</f>
        <v>0</v>
      </c>
      <c r="AR4" s="21">
        <f>IF(AS4-AT4&lt;0,0,AS4-AT4)</f>
        <v>0</v>
      </c>
      <c r="AS4" s="24">
        <f>ROUND(MAX((AQ4-5000*2)*{0.03,0.1,0.2,0.25,0.3,0.35,0.45}-{0,2520,16920,31920,52920,85920,181920},0),2)</f>
        <v>0</v>
      </c>
      <c r="AT4" s="24" t="str">
        <f>IF(ISERROR(VLOOKUP(D4,'2018年12月工资表'!D4:AS21,42,FALSE)),"0",VLOOKUP(D4,'2018年12月工资表'!D4:AS21,42,FALSE))</f>
        <v>0</v>
      </c>
      <c r="AU4" s="47"/>
      <c r="AV4" s="21"/>
      <c r="AW4" s="21">
        <f>S4-V4-Z4-AE4-AI4-AR4-AU4-AV4</f>
        <v>0</v>
      </c>
      <c r="AX4" s="21"/>
      <c r="AY4" s="21">
        <f aca="true" t="shared" si="6" ref="AY4:AY21">AW4-AX4</f>
        <v>0</v>
      </c>
      <c r="AZ4" s="15"/>
    </row>
    <row r="5" spans="1:52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/>
      <c r="U5" s="21">
        <f aca="true" t="shared" si="7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>S5-V5-Z5-AE5-AI5-AO5</f>
        <v>0</v>
      </c>
      <c r="AQ5" s="21" t="str">
        <f>IF(ISERROR(AP5+VLOOKUP(D5,'2018年12月工资表'!D5:AQ22,40,FALSE)),"0",AP5+VLOOKUP(D5,'2018年12月工资表'!D5:AQ22,40,FALSE))</f>
        <v>0</v>
      </c>
      <c r="AR5" s="21">
        <f aca="true" t="shared" si="8" ref="AR5:AR21">IF(AS5-AT5&lt;0,0,AS5-AT5)</f>
        <v>0</v>
      </c>
      <c r="AS5" s="24">
        <f>ROUND(MAX((AQ5-5000*2)*{0.03,0.1,0.2,0.25,0.3,0.35,0.45}-{0,2520,16920,31920,52920,85920,181920},0),2)</f>
        <v>0</v>
      </c>
      <c r="AT5" s="24" t="str">
        <f>IF(ISERROR(VLOOKUP(D5,'2018年12月工资表'!D5:AS22,42,FALSE)),"0",VLOOKUP(D5,'2018年12月工资表'!D5:AS22,42,FALSE))</f>
        <v>0</v>
      </c>
      <c r="AU5" s="47"/>
      <c r="AV5" s="21"/>
      <c r="AW5" s="21">
        <f aca="true" t="shared" si="9" ref="AW5:AW21">S5-V5-Z5-AE5-AI5-AR5-AU5-AV5</f>
        <v>0</v>
      </c>
      <c r="AX5" s="21"/>
      <c r="AY5" s="21">
        <f t="shared" si="6"/>
        <v>0</v>
      </c>
      <c r="AZ5" s="15"/>
    </row>
    <row r="6" spans="1:52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/>
      <c r="U6" s="21">
        <f t="shared" si="7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>S6-V6-Z6-AE6-AI6-AO6</f>
        <v>0</v>
      </c>
      <c r="AQ6" s="21" t="str">
        <f>IF(ISERROR(AP6+VLOOKUP(D6,'2018年12月工资表'!D6:AQ23,40,FALSE)),"0",AP6+VLOOKUP(D6,'2018年12月工资表'!D6:AQ23,40,FALSE))</f>
        <v>0</v>
      </c>
      <c r="AR6" s="21">
        <f t="shared" si="8"/>
        <v>0</v>
      </c>
      <c r="AS6" s="24">
        <f>ROUND(MAX((AQ6-5000*2)*{0.03,0.1,0.2,0.25,0.3,0.35,0.45}-{0,2520,16920,31920,52920,85920,181920},0),2)</f>
        <v>0</v>
      </c>
      <c r="AT6" s="24" t="str">
        <f>IF(ISERROR(VLOOKUP(D6,'2018年12月工资表'!D6:AS23,42,FALSE)),"0",VLOOKUP(D6,'2018年12月工资表'!D6:AS23,42,FALSE))</f>
        <v>0</v>
      </c>
      <c r="AU6" s="47"/>
      <c r="AV6" s="21"/>
      <c r="AW6" s="21">
        <f t="shared" si="9"/>
        <v>0</v>
      </c>
      <c r="AX6" s="21"/>
      <c r="AY6" s="21">
        <f t="shared" si="6"/>
        <v>0</v>
      </c>
      <c r="AZ6" s="15"/>
    </row>
    <row r="7" spans="1:52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aca="true" t="shared" si="10" ref="T5:T18">IF(ISERROR(K7/F7*H7),"",K7/F7*H7)</f>
      </c>
      <c r="U7" s="21">
        <f t="shared" si="7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>S7-V7-Z7-AE7-AI7-AO7</f>
        <v>0</v>
      </c>
      <c r="AQ7" s="21" t="str">
        <f>IF(ISERROR(AP7+VLOOKUP(D7,'2018年12月工资表'!D7:AQ24,40,FALSE)),"0",AP7+VLOOKUP(D7,'2018年12月工资表'!D7:AQ24,40,FALSE))</f>
        <v>0</v>
      </c>
      <c r="AR7" s="21">
        <f t="shared" si="8"/>
        <v>0</v>
      </c>
      <c r="AS7" s="24">
        <f>ROUND(MAX((AQ7-5000*2)*{0.03,0.1,0.2,0.25,0.3,0.35,0.45}-{0,2520,16920,31920,52920,85920,181920},0),2)</f>
        <v>0</v>
      </c>
      <c r="AT7" s="24" t="str">
        <f>IF(ISERROR(VLOOKUP(D7,'2018年12月工资表'!D7:AS24,42,FALSE)),"0",VLOOKUP(D7,'2018年12月工资表'!D7:AS24,42,FALSE))</f>
        <v>0</v>
      </c>
      <c r="AU7" s="47"/>
      <c r="AV7" s="21"/>
      <c r="AW7" s="21">
        <f t="shared" si="9"/>
        <v>0</v>
      </c>
      <c r="AX7" s="21"/>
      <c r="AY7" s="21">
        <f t="shared" si="6"/>
        <v>0</v>
      </c>
      <c r="AZ7" s="15"/>
    </row>
    <row r="8" spans="1:52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10"/>
      </c>
      <c r="U8" s="21">
        <f t="shared" si="7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aca="true" t="shared" si="11" ref="AP8:AP21">S8-V8-Z8-AE8-AI8-AO8</f>
        <v>0</v>
      </c>
      <c r="AQ8" s="21" t="str">
        <f>IF(ISERROR(AP8+VLOOKUP(D8,'2018年12月工资表'!D8:AQ25,40,FALSE)),"0",AP8+VLOOKUP(D8,'2018年12月工资表'!D8:AQ25,40,FALSE))</f>
        <v>0</v>
      </c>
      <c r="AR8" s="21">
        <f t="shared" si="8"/>
        <v>0</v>
      </c>
      <c r="AS8" s="24">
        <f>ROUND(MAX((AQ8-5000*2)*{0.03,0.1,0.2,0.25,0.3,0.35,0.45}-{0,2520,16920,31920,52920,85920,181920},0),2)</f>
        <v>0</v>
      </c>
      <c r="AT8" s="24" t="str">
        <f>IF(ISERROR(VLOOKUP(D8,'2018年12月工资表'!D8:AS25,42,FALSE)),"0",VLOOKUP(D8,'2018年12月工资表'!D8:AS25,42,FALSE))</f>
        <v>0</v>
      </c>
      <c r="AU8" s="47"/>
      <c r="AV8" s="21"/>
      <c r="AW8" s="21">
        <f t="shared" si="9"/>
        <v>0</v>
      </c>
      <c r="AX8" s="21"/>
      <c r="AY8" s="21">
        <f t="shared" si="6"/>
        <v>0</v>
      </c>
      <c r="AZ8" s="15"/>
    </row>
    <row r="9" spans="1:52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10"/>
      </c>
      <c r="U9" s="21">
        <f t="shared" si="7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11"/>
        <v>0</v>
      </c>
      <c r="AQ9" s="21" t="str">
        <f>IF(ISERROR(AP9+VLOOKUP(D9,'2018年12月工资表'!D9:AQ26,40,FALSE)),"0",AP9+VLOOKUP(D9,'2018年12月工资表'!D9:AQ26,40,FALSE))</f>
        <v>0</v>
      </c>
      <c r="AR9" s="21">
        <f t="shared" si="8"/>
        <v>0</v>
      </c>
      <c r="AS9" s="24">
        <f>ROUND(MAX((AQ9-5000*2)*{0.03,0.1,0.2,0.25,0.3,0.35,0.45}-{0,2520,16920,31920,52920,85920,181920},0),2)</f>
        <v>0</v>
      </c>
      <c r="AT9" s="24" t="str">
        <f>IF(ISERROR(VLOOKUP(D9,'2018年12月工资表'!D9:AS26,42,FALSE)),"0",VLOOKUP(D9,'2018年12月工资表'!D9:AS26,42,FALSE))</f>
        <v>0</v>
      </c>
      <c r="AU9" s="47"/>
      <c r="AV9" s="21"/>
      <c r="AW9" s="21">
        <f t="shared" si="9"/>
        <v>0</v>
      </c>
      <c r="AX9" s="21"/>
      <c r="AY9" s="21">
        <f t="shared" si="6"/>
        <v>0</v>
      </c>
      <c r="AZ9" s="15"/>
    </row>
    <row r="10" spans="1:52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/>
      <c r="U10" s="21">
        <f t="shared" si="7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11"/>
        <v>0</v>
      </c>
      <c r="AQ10" s="21" t="str">
        <f>IF(ISERROR(AP10+VLOOKUP(D10,'2018年12月工资表'!D10:AQ27,40,FALSE)),"0",AP10+VLOOKUP(D10,'2018年12月工资表'!D10:AQ27,40,FALSE))</f>
        <v>0</v>
      </c>
      <c r="AR10" s="21">
        <f t="shared" si="8"/>
        <v>0</v>
      </c>
      <c r="AS10" s="24">
        <f>ROUND(MAX((AQ10-5000*2)*{0.03,0.1,0.2,0.25,0.3,0.35,0.45}-{0,2520,16920,31920,52920,85920,181920},0),2)</f>
        <v>0</v>
      </c>
      <c r="AT10" s="24" t="str">
        <f>IF(ISERROR(VLOOKUP(D10,'2018年12月工资表'!D10:AS27,42,FALSE)),"0",VLOOKUP(D10,'2018年12月工资表'!D10:AS27,42,FALSE))</f>
        <v>0</v>
      </c>
      <c r="AU10" s="47"/>
      <c r="AV10" s="21"/>
      <c r="AW10" s="21">
        <f t="shared" si="9"/>
        <v>0</v>
      </c>
      <c r="AX10" s="21"/>
      <c r="AY10" s="21">
        <f t="shared" si="6"/>
        <v>0</v>
      </c>
      <c r="AZ10" s="15"/>
    </row>
    <row r="11" spans="1:52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10"/>
      </c>
      <c r="U11" s="21">
        <f t="shared" si="7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11"/>
        <v>0</v>
      </c>
      <c r="AQ11" s="21" t="str">
        <f>IF(ISERROR(AP11+VLOOKUP(D11,'2018年12月工资表'!D11:AQ28,40,FALSE)),"0",AP11+VLOOKUP(D11,'2018年12月工资表'!D11:AQ28,40,FALSE))</f>
        <v>0</v>
      </c>
      <c r="AR11" s="21">
        <f t="shared" si="8"/>
        <v>0</v>
      </c>
      <c r="AS11" s="24">
        <f>ROUND(MAX((AQ11-5000*2)*{0.03,0.1,0.2,0.25,0.3,0.35,0.45}-{0,2520,16920,31920,52920,85920,181920},0),2)</f>
        <v>0</v>
      </c>
      <c r="AT11" s="24" t="str">
        <f>IF(ISERROR(VLOOKUP(D11,'2018年12月工资表'!D11:AS28,42,FALSE)),"0",VLOOKUP(D11,'2018年12月工资表'!D11:AS28,42,FALSE))</f>
        <v>0</v>
      </c>
      <c r="AU11" s="47"/>
      <c r="AV11" s="21"/>
      <c r="AW11" s="21">
        <f t="shared" si="9"/>
        <v>0</v>
      </c>
      <c r="AX11" s="21"/>
      <c r="AY11" s="21">
        <f t="shared" si="6"/>
        <v>0</v>
      </c>
      <c r="AZ11" s="15"/>
    </row>
    <row r="12" spans="1:52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/>
      <c r="U12" s="21">
        <f t="shared" si="7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11"/>
        <v>0</v>
      </c>
      <c r="AQ12" s="21" t="str">
        <f>IF(ISERROR(AP12+VLOOKUP(D12,'2018年12月工资表'!D12:AQ29,40,FALSE)),"0",AP12+VLOOKUP(D12,'2018年12月工资表'!D12:AQ29,40,FALSE))</f>
        <v>0</v>
      </c>
      <c r="AR12" s="21">
        <f t="shared" si="8"/>
        <v>0</v>
      </c>
      <c r="AS12" s="24">
        <f>ROUND(MAX((AQ12-5000*2)*{0.03,0.1,0.2,0.25,0.3,0.35,0.45}-{0,2520,16920,31920,52920,85920,181920},0),2)</f>
        <v>0</v>
      </c>
      <c r="AT12" s="24" t="str">
        <f>IF(ISERROR(VLOOKUP(D12,'2018年12月工资表'!D12:AS29,42,FALSE)),"0",VLOOKUP(D12,'2018年12月工资表'!D12:AS29,42,FALSE))</f>
        <v>0</v>
      </c>
      <c r="AU12" s="47"/>
      <c r="AV12" s="21"/>
      <c r="AW12" s="21">
        <f t="shared" si="9"/>
        <v>0</v>
      </c>
      <c r="AX12" s="21"/>
      <c r="AY12" s="21">
        <f t="shared" si="6"/>
        <v>0</v>
      </c>
      <c r="AZ12" s="15"/>
    </row>
    <row r="13" spans="1:52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10"/>
      </c>
      <c r="U13" s="21">
        <f t="shared" si="7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11"/>
        <v>0</v>
      </c>
      <c r="AQ13" s="21" t="str">
        <f>IF(ISERROR(AP13+VLOOKUP(D13,'2018年12月工资表'!D13:AQ30,40,FALSE)),"0",AP13+VLOOKUP(D13,'2018年12月工资表'!D13:AQ30,40,FALSE))</f>
        <v>0</v>
      </c>
      <c r="AR13" s="21">
        <f t="shared" si="8"/>
        <v>0</v>
      </c>
      <c r="AS13" s="24">
        <f>ROUND(MAX((AQ13-5000*2)*{0.03,0.1,0.2,0.25,0.3,0.35,0.45}-{0,2520,16920,31920,52920,85920,181920},0),2)</f>
        <v>0</v>
      </c>
      <c r="AT13" s="24" t="str">
        <f>IF(ISERROR(VLOOKUP(D13,'2018年12月工资表'!D13:AS30,42,FALSE)),"0",VLOOKUP(D13,'2018年12月工资表'!D13:AS30,42,FALSE))</f>
        <v>0</v>
      </c>
      <c r="AU13" s="47"/>
      <c r="AV13" s="21"/>
      <c r="AW13" s="21">
        <f t="shared" si="9"/>
        <v>0</v>
      </c>
      <c r="AX13" s="21"/>
      <c r="AY13" s="21">
        <f t="shared" si="6"/>
        <v>0</v>
      </c>
      <c r="AZ13" s="15"/>
    </row>
    <row r="14" spans="1:52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10"/>
      </c>
      <c r="U14" s="21">
        <f t="shared" si="7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11"/>
        <v>0</v>
      </c>
      <c r="AQ14" s="21" t="str">
        <f>IF(ISERROR(AP14+VLOOKUP(D14,'2018年12月工资表'!D14:AQ31,40,FALSE)),"0",AP14+VLOOKUP(D14,'2018年12月工资表'!D14:AQ31,40,FALSE))</f>
        <v>0</v>
      </c>
      <c r="AR14" s="21">
        <f t="shared" si="8"/>
        <v>0</v>
      </c>
      <c r="AS14" s="24">
        <f>ROUND(MAX((AQ14-5000*2)*{0.03,0.1,0.2,0.25,0.3,0.35,0.45}-{0,2520,16920,31920,52920,85920,181920},0),2)</f>
        <v>0</v>
      </c>
      <c r="AT14" s="24" t="str">
        <f>IF(ISERROR(VLOOKUP(D14,'2018年12月工资表'!D14:AS31,42,FALSE)),"0",VLOOKUP(D14,'2018年12月工资表'!D14:AS31,42,FALSE))</f>
        <v>0</v>
      </c>
      <c r="AU14" s="47"/>
      <c r="AV14" s="21"/>
      <c r="AW14" s="21">
        <f t="shared" si="9"/>
        <v>0</v>
      </c>
      <c r="AX14" s="21"/>
      <c r="AY14" s="21">
        <f t="shared" si="6"/>
        <v>0</v>
      </c>
      <c r="AZ14" s="15"/>
    </row>
    <row r="15" spans="1:52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10"/>
      </c>
      <c r="U15" s="21">
        <f t="shared" si="7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11"/>
        <v>0</v>
      </c>
      <c r="AQ15" s="21" t="str">
        <f>IF(ISERROR(AP15+VLOOKUP(D15,'2018年12月工资表'!D15:AQ32,40,FALSE)),"0",AP15+VLOOKUP(D15,'2018年12月工资表'!D15:AQ32,40,FALSE))</f>
        <v>0</v>
      </c>
      <c r="AR15" s="21">
        <f t="shared" si="8"/>
        <v>0</v>
      </c>
      <c r="AS15" s="24">
        <f>ROUND(MAX((AQ15-5000*2)*{0.03,0.1,0.2,0.25,0.3,0.35,0.45}-{0,2520,16920,31920,52920,85920,181920},0),2)</f>
        <v>0</v>
      </c>
      <c r="AT15" s="24" t="str">
        <f>IF(ISERROR(VLOOKUP(D15,'2018年12月工资表'!D15:AS32,42,FALSE)),"0",VLOOKUP(D15,'2018年12月工资表'!D15:AS32,42,FALSE))</f>
        <v>0</v>
      </c>
      <c r="AU15" s="47"/>
      <c r="AV15" s="21"/>
      <c r="AW15" s="21">
        <f t="shared" si="9"/>
        <v>0</v>
      </c>
      <c r="AX15" s="21"/>
      <c r="AY15" s="21">
        <f t="shared" si="6"/>
        <v>0</v>
      </c>
      <c r="AZ15" s="15"/>
    </row>
    <row r="16" spans="1:52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10"/>
      </c>
      <c r="U16" s="21">
        <f t="shared" si="7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11"/>
        <v>0</v>
      </c>
      <c r="AQ16" s="21" t="str">
        <f>IF(ISERROR(AP16+VLOOKUP(D16,'2018年12月工资表'!D16:AQ33,40,FALSE)),"0",AP16+VLOOKUP(D16,'2018年12月工资表'!D16:AQ33,40,FALSE))</f>
        <v>0</v>
      </c>
      <c r="AR16" s="21">
        <f t="shared" si="8"/>
        <v>0</v>
      </c>
      <c r="AS16" s="24">
        <f>ROUND(MAX((AQ16-5000*2)*{0.03,0.1,0.2,0.25,0.3,0.35,0.45}-{0,2520,16920,31920,52920,85920,181920},0),2)</f>
        <v>0</v>
      </c>
      <c r="AT16" s="24" t="str">
        <f>IF(ISERROR(VLOOKUP(D16,'2018年12月工资表'!D16:AS33,42,FALSE)),"0",VLOOKUP(D16,'2018年12月工资表'!D16:AS33,42,FALSE))</f>
        <v>0</v>
      </c>
      <c r="AU16" s="47"/>
      <c r="AV16" s="21"/>
      <c r="AW16" s="21">
        <f t="shared" si="9"/>
        <v>0</v>
      </c>
      <c r="AX16" s="21"/>
      <c r="AY16" s="21">
        <f t="shared" si="6"/>
        <v>0</v>
      </c>
      <c r="AZ16" s="15"/>
    </row>
    <row r="17" spans="1:52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10"/>
      </c>
      <c r="U17" s="21">
        <f t="shared" si="7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11"/>
        <v>0</v>
      </c>
      <c r="AQ17" s="21" t="str">
        <f>IF(ISERROR(AP17+VLOOKUP(D17,'2018年12月工资表'!D17:AQ34,40,FALSE)),"0",AP17+VLOOKUP(D17,'2018年12月工资表'!D17:AQ34,40,FALSE))</f>
        <v>0</v>
      </c>
      <c r="AR17" s="21">
        <f t="shared" si="8"/>
        <v>0</v>
      </c>
      <c r="AS17" s="24">
        <f>ROUND(MAX((AQ17-5000*2)*{0.03,0.1,0.2,0.25,0.3,0.35,0.45}-{0,2520,16920,31920,52920,85920,181920},0),2)</f>
        <v>0</v>
      </c>
      <c r="AT17" s="24" t="str">
        <f>IF(ISERROR(VLOOKUP(D17,'2018年12月工资表'!D17:AS34,42,FALSE)),"0",VLOOKUP(D17,'2018年12月工资表'!D17:AS34,42,FALSE))</f>
        <v>0</v>
      </c>
      <c r="AU17" s="47"/>
      <c r="AV17" s="21"/>
      <c r="AW17" s="21">
        <f t="shared" si="9"/>
        <v>0</v>
      </c>
      <c r="AX17" s="21"/>
      <c r="AY17" s="21">
        <f t="shared" si="6"/>
        <v>0</v>
      </c>
      <c r="AZ17" s="15"/>
    </row>
    <row r="18" spans="1:52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/>
      <c r="U18" s="21"/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/>
      <c r="AJ18" s="21"/>
      <c r="AK18" s="21"/>
      <c r="AL18" s="21"/>
      <c r="AM18" s="21"/>
      <c r="AN18" s="21"/>
      <c r="AO18" s="21">
        <f t="shared" si="5"/>
        <v>0</v>
      </c>
      <c r="AP18" s="21">
        <f t="shared" si="11"/>
        <v>0</v>
      </c>
      <c r="AQ18" s="21" t="str">
        <f>IF(ISERROR(AP18+VLOOKUP(D18,'2018年12月工资表'!D18:AQ35,40,FALSE)),"0",AP18+VLOOKUP(D18,'2018年12月工资表'!D18:AQ35,40,FALSE))</f>
        <v>0</v>
      </c>
      <c r="AR18" s="21">
        <f t="shared" si="8"/>
        <v>0</v>
      </c>
      <c r="AS18" s="24">
        <f>ROUND(MAX((AQ18-5000*2)*{0.03,0.1,0.2,0.25,0.3,0.35,0.45}-{0,2520,16920,31920,52920,85920,181920},0),2)</f>
        <v>0</v>
      </c>
      <c r="AT18" s="24" t="str">
        <f>IF(ISERROR(VLOOKUP(D18,'2018年12月工资表'!D18:AS35,42,FALSE)),"0",VLOOKUP(D18,'2018年12月工资表'!D18:AS35,42,FALSE))</f>
        <v>0</v>
      </c>
      <c r="AU18" s="47"/>
      <c r="AV18" s="21"/>
      <c r="AW18" s="21">
        <f t="shared" si="9"/>
        <v>0</v>
      </c>
      <c r="AX18" s="21"/>
      <c r="AY18" s="21">
        <f t="shared" si="6"/>
        <v>0</v>
      </c>
      <c r="AZ18" s="15"/>
    </row>
    <row r="19" spans="1:52" s="10" customFormat="1" ht="23.25" customHeight="1">
      <c r="A19" s="15">
        <v>16</v>
      </c>
      <c r="B19" s="16" t="s">
        <v>71</v>
      </c>
      <c r="C19" s="15"/>
      <c r="D19" s="15"/>
      <c r="E19" s="16"/>
      <c r="F19" s="15"/>
      <c r="G19" s="15"/>
      <c r="H19" s="15"/>
      <c r="I19" s="15"/>
      <c r="J19" s="15"/>
      <c r="K19" s="21"/>
      <c r="L19" s="21"/>
      <c r="M19" s="21"/>
      <c r="N19" s="21"/>
      <c r="O19" s="21"/>
      <c r="P19" s="21"/>
      <c r="Q19" s="21"/>
      <c r="R19" s="21"/>
      <c r="S19" s="21">
        <f t="shared" si="0"/>
        <v>0</v>
      </c>
      <c r="T19" s="21"/>
      <c r="U19" s="21"/>
      <c r="V19" s="24">
        <f t="shared" si="1"/>
        <v>0</v>
      </c>
      <c r="W19" s="21"/>
      <c r="X19" s="21"/>
      <c r="Y19" s="21"/>
      <c r="Z19" s="21">
        <f t="shared" si="2"/>
        <v>0</v>
      </c>
      <c r="AA19" s="21"/>
      <c r="AB19" s="21"/>
      <c r="AC19" s="21"/>
      <c r="AD19" s="21"/>
      <c r="AE19" s="21">
        <f t="shared" si="3"/>
        <v>0</v>
      </c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f t="shared" si="5"/>
        <v>0</v>
      </c>
      <c r="AP19" s="21">
        <f t="shared" si="11"/>
        <v>0</v>
      </c>
      <c r="AQ19" s="21" t="str">
        <f>IF(ISERROR(AP19+VLOOKUP(D19,'2018年12月工资表'!D19:AQ36,40,FALSE)),"0",AP19+VLOOKUP(D19,'2018年12月工资表'!D19:AQ36,40,FALSE))</f>
        <v>0</v>
      </c>
      <c r="AR19" s="21">
        <f t="shared" si="8"/>
        <v>0</v>
      </c>
      <c r="AS19" s="24">
        <f>ROUND(MAX((AQ19-5000*2)*{0.03,0.1,0.2,0.25,0.3,0.35,0.45}-{0,2520,16920,31920,52920,85920,181920},0),2)</f>
        <v>0</v>
      </c>
      <c r="AT19" s="24" t="str">
        <f>IF(ISERROR(VLOOKUP(D19,'2018年12月工资表'!D19:AS36,42,FALSE)),"0",VLOOKUP(D19,'2018年12月工资表'!D19:AS36,42,FALSE))</f>
        <v>0</v>
      </c>
      <c r="AU19" s="47"/>
      <c r="AV19" s="21"/>
      <c r="AW19" s="21">
        <f t="shared" si="9"/>
        <v>0</v>
      </c>
      <c r="AX19" s="21"/>
      <c r="AY19" s="21">
        <f t="shared" si="6"/>
        <v>0</v>
      </c>
      <c r="AZ19" s="15"/>
    </row>
    <row r="20" spans="1:52" s="10" customFormat="1" ht="23.25" customHeight="1">
      <c r="A20" s="15">
        <v>17</v>
      </c>
      <c r="B20" s="16" t="s">
        <v>72</v>
      </c>
      <c r="C20" s="15"/>
      <c r="D20" s="15"/>
      <c r="E20" s="16"/>
      <c r="F20" s="15"/>
      <c r="G20" s="15"/>
      <c r="H20" s="15"/>
      <c r="I20" s="15"/>
      <c r="J20" s="15"/>
      <c r="K20" s="21"/>
      <c r="L20" s="21"/>
      <c r="M20" s="21"/>
      <c r="N20" s="21"/>
      <c r="O20" s="21"/>
      <c r="P20" s="21"/>
      <c r="Q20" s="21"/>
      <c r="R20" s="21"/>
      <c r="S20" s="21">
        <f t="shared" si="0"/>
        <v>0</v>
      </c>
      <c r="T20" s="21"/>
      <c r="U20" s="21"/>
      <c r="V20" s="24">
        <f t="shared" si="1"/>
        <v>0</v>
      </c>
      <c r="W20" s="21"/>
      <c r="X20" s="21"/>
      <c r="Y20" s="21"/>
      <c r="Z20" s="21">
        <f t="shared" si="2"/>
        <v>0</v>
      </c>
      <c r="AA20" s="21"/>
      <c r="AB20" s="21"/>
      <c r="AC20" s="21"/>
      <c r="AD20" s="21"/>
      <c r="AE20" s="21">
        <f t="shared" si="3"/>
        <v>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f t="shared" si="5"/>
        <v>0</v>
      </c>
      <c r="AP20" s="21">
        <f t="shared" si="11"/>
        <v>0</v>
      </c>
      <c r="AQ20" s="21" t="str">
        <f>IF(ISERROR(AP20+VLOOKUP(D20,'2018年12月工资表'!D20:AQ37,40,FALSE)),"0",AP20+VLOOKUP(D20,'2018年12月工资表'!D20:AQ37,40,FALSE))</f>
        <v>0</v>
      </c>
      <c r="AR20" s="21">
        <f t="shared" si="8"/>
        <v>0</v>
      </c>
      <c r="AS20" s="24">
        <f>ROUND(MAX((AQ20-5000*2)*{0.03,0.1,0.2,0.25,0.3,0.35,0.45}-{0,2520,16920,31920,52920,85920,181920},0),2)</f>
        <v>0</v>
      </c>
      <c r="AT20" s="24" t="str">
        <f>IF(ISERROR(VLOOKUP(D20,'2018年12月工资表'!D20:AS37,42,FALSE)),"0",VLOOKUP(D20,'2018年12月工资表'!D20:AS37,42,FALSE))</f>
        <v>0</v>
      </c>
      <c r="AU20" s="47"/>
      <c r="AV20" s="21"/>
      <c r="AW20" s="21">
        <f t="shared" si="9"/>
        <v>0</v>
      </c>
      <c r="AX20" s="21"/>
      <c r="AY20" s="21">
        <f t="shared" si="6"/>
        <v>0</v>
      </c>
      <c r="AZ20" s="15"/>
    </row>
    <row r="21" spans="1:52" s="10" customFormat="1" ht="23.25" customHeight="1">
      <c r="A21" s="15">
        <v>18</v>
      </c>
      <c r="B21" s="16" t="s">
        <v>73</v>
      </c>
      <c r="C21" s="15"/>
      <c r="D21" s="15"/>
      <c r="E21" s="16"/>
      <c r="F21" s="15"/>
      <c r="G21" s="15"/>
      <c r="H21" s="15"/>
      <c r="I21" s="15"/>
      <c r="J21" s="15"/>
      <c r="K21" s="21"/>
      <c r="L21" s="21"/>
      <c r="M21" s="21"/>
      <c r="N21" s="21"/>
      <c r="O21" s="21"/>
      <c r="P21" s="21"/>
      <c r="Q21" s="21"/>
      <c r="R21" s="21"/>
      <c r="S21" s="21">
        <f t="shared" si="0"/>
        <v>0</v>
      </c>
      <c r="T21" s="21"/>
      <c r="U21" s="21"/>
      <c r="V21" s="24">
        <f t="shared" si="1"/>
        <v>0</v>
      </c>
      <c r="W21" s="21"/>
      <c r="X21" s="21"/>
      <c r="Y21" s="21"/>
      <c r="Z21" s="21">
        <f t="shared" si="2"/>
        <v>0</v>
      </c>
      <c r="AA21" s="21"/>
      <c r="AB21" s="21"/>
      <c r="AC21" s="21"/>
      <c r="AD21" s="21"/>
      <c r="AE21" s="21">
        <f t="shared" si="3"/>
        <v>0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>
        <f t="shared" si="5"/>
        <v>0</v>
      </c>
      <c r="AP21" s="21">
        <f t="shared" si="11"/>
        <v>0</v>
      </c>
      <c r="AQ21" s="21" t="str">
        <f>IF(ISERROR(AP21+VLOOKUP(D21,'2018年12月工资表'!D21:AQ38,40,FALSE)),"0",AP21+VLOOKUP(D21,'2018年12月工资表'!D21:AQ38,40,FALSE))</f>
        <v>0</v>
      </c>
      <c r="AR21" s="21">
        <f t="shared" si="8"/>
        <v>0</v>
      </c>
      <c r="AS21" s="24">
        <f>ROUND(MAX((AQ21-5000*2)*{0.03,0.1,0.2,0.25,0.3,0.35,0.45}-{0,2520,16920,31920,52920,85920,181920},0),2)</f>
        <v>0</v>
      </c>
      <c r="AT21" s="24" t="str">
        <f>IF(ISERROR(VLOOKUP(D21,'2018年12月工资表'!D21:AS38,42,FALSE)),"0",VLOOKUP(D21,'2018年12月工资表'!D21:AS38,42,FALSE))</f>
        <v>0</v>
      </c>
      <c r="AU21" s="47"/>
      <c r="AV21" s="21"/>
      <c r="AW21" s="21">
        <f t="shared" si="9"/>
        <v>0</v>
      </c>
      <c r="AX21" s="21"/>
      <c r="AY21" s="21">
        <f t="shared" si="6"/>
        <v>0</v>
      </c>
      <c r="AZ21" s="15"/>
    </row>
    <row r="22" spans="1:52" s="10" customFormat="1" ht="23.25" customHeight="1">
      <c r="A22" s="17" t="s">
        <v>31</v>
      </c>
      <c r="B22" s="18"/>
      <c r="C22" s="18"/>
      <c r="D22" s="19"/>
      <c r="E22" s="16"/>
      <c r="F22" s="15">
        <f>SUM(F4:F18)</f>
        <v>0</v>
      </c>
      <c r="G22" s="15">
        <f>SUM(G4:G18)</f>
        <v>0</v>
      </c>
      <c r="H22" s="15">
        <f>SUM(H4:H18)</f>
        <v>0</v>
      </c>
      <c r="I22" s="15">
        <f>SUM(I4:I18)</f>
        <v>0</v>
      </c>
      <c r="J22" s="15">
        <f>SUM(J4:J18)</f>
        <v>0</v>
      </c>
      <c r="K22" s="21">
        <f>SUM(K4:K21)</f>
        <v>0</v>
      </c>
      <c r="L22" s="21">
        <f aca="true" t="shared" si="12" ref="L22:AY22">SUM(L4:L21)</f>
        <v>0</v>
      </c>
      <c r="M22" s="21">
        <f t="shared" si="12"/>
        <v>0</v>
      </c>
      <c r="N22" s="21">
        <f t="shared" si="12"/>
        <v>0</v>
      </c>
      <c r="O22" s="21">
        <f t="shared" si="12"/>
        <v>0</v>
      </c>
      <c r="P22" s="21">
        <f t="shared" si="12"/>
        <v>0</v>
      </c>
      <c r="Q22" s="21">
        <f t="shared" si="12"/>
        <v>0</v>
      </c>
      <c r="R22" s="21">
        <f t="shared" si="12"/>
        <v>0</v>
      </c>
      <c r="S22" s="21">
        <f t="shared" si="12"/>
        <v>0</v>
      </c>
      <c r="T22" s="21">
        <f t="shared" si="12"/>
        <v>0</v>
      </c>
      <c r="U22" s="21">
        <f t="shared" si="12"/>
        <v>0</v>
      </c>
      <c r="V22" s="21">
        <f t="shared" si="12"/>
        <v>0</v>
      </c>
      <c r="W22" s="21">
        <f t="shared" si="12"/>
        <v>0</v>
      </c>
      <c r="X22" s="21">
        <f t="shared" si="12"/>
        <v>0</v>
      </c>
      <c r="Y22" s="21">
        <f t="shared" si="12"/>
        <v>0</v>
      </c>
      <c r="Z22" s="21">
        <f t="shared" si="12"/>
        <v>0</v>
      </c>
      <c r="AA22" s="21">
        <f t="shared" si="12"/>
        <v>0</v>
      </c>
      <c r="AB22" s="21">
        <f t="shared" si="12"/>
        <v>0</v>
      </c>
      <c r="AC22" s="21">
        <f t="shared" si="12"/>
        <v>0</v>
      </c>
      <c r="AD22" s="21">
        <f t="shared" si="12"/>
        <v>0</v>
      </c>
      <c r="AE22" s="21">
        <f t="shared" si="12"/>
        <v>0</v>
      </c>
      <c r="AF22" s="21">
        <f t="shared" si="12"/>
        <v>0</v>
      </c>
      <c r="AG22" s="21">
        <f t="shared" si="12"/>
        <v>0</v>
      </c>
      <c r="AH22" s="21">
        <f t="shared" si="12"/>
        <v>0</v>
      </c>
      <c r="AI22" s="21">
        <f t="shared" si="12"/>
        <v>0</v>
      </c>
      <c r="AJ22" s="21">
        <f t="shared" si="12"/>
        <v>0</v>
      </c>
      <c r="AK22" s="21">
        <f t="shared" si="12"/>
        <v>0</v>
      </c>
      <c r="AL22" s="21">
        <f t="shared" si="12"/>
        <v>0</v>
      </c>
      <c r="AM22" s="21">
        <f t="shared" si="12"/>
        <v>0</v>
      </c>
      <c r="AN22" s="21">
        <f t="shared" si="12"/>
        <v>0</v>
      </c>
      <c r="AO22" s="21">
        <f t="shared" si="12"/>
        <v>0</v>
      </c>
      <c r="AP22" s="21">
        <f t="shared" si="12"/>
        <v>0</v>
      </c>
      <c r="AQ22" s="21">
        <f t="shared" si="12"/>
        <v>0</v>
      </c>
      <c r="AR22" s="21">
        <f t="shared" si="12"/>
        <v>0</v>
      </c>
      <c r="AS22" s="21">
        <f t="shared" si="12"/>
        <v>0</v>
      </c>
      <c r="AT22" s="21">
        <f t="shared" si="12"/>
        <v>0</v>
      </c>
      <c r="AU22" s="21">
        <f t="shared" si="12"/>
        <v>0</v>
      </c>
      <c r="AV22" s="21">
        <f t="shared" si="12"/>
        <v>0</v>
      </c>
      <c r="AW22" s="21">
        <f t="shared" si="12"/>
        <v>0</v>
      </c>
      <c r="AX22" s="21"/>
      <c r="AY22" s="21">
        <f t="shared" si="12"/>
        <v>0</v>
      </c>
      <c r="AZ22" s="15"/>
    </row>
    <row r="23" spans="1:52" s="9" customFormat="1" ht="96" customHeight="1">
      <c r="A23" s="20" t="s">
        <v>74</v>
      </c>
      <c r="B23" s="20"/>
      <c r="C23" s="20"/>
      <c r="D23" s="20"/>
      <c r="E23" s="20"/>
      <c r="F23" s="20"/>
      <c r="G23" s="20"/>
      <c r="H23" s="20"/>
      <c r="I23" s="20"/>
      <c r="J23" s="2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0"/>
    </row>
    <row r="24" spans="11:51" s="9" customFormat="1" ht="1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</sheetData>
  <sheetProtection/>
  <mergeCells count="25">
    <mergeCell ref="A1:AZ1"/>
    <mergeCell ref="K2:S2"/>
    <mergeCell ref="T2:V2"/>
    <mergeCell ref="W2:Z2"/>
    <mergeCell ref="AA2:AE2"/>
    <mergeCell ref="AF2:AI2"/>
    <mergeCell ref="AJ2:AO2"/>
    <mergeCell ref="AP2:AQ2"/>
    <mergeCell ref="AR2:AT2"/>
    <mergeCell ref="A22:D22"/>
    <mergeCell ref="A23:AZ2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W2:AW3"/>
    <mergeCell ref="AX2:AX3"/>
    <mergeCell ref="AY2:AY3"/>
    <mergeCell ref="AZ2:AZ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V22"/>
  <sheetViews>
    <sheetView workbookViewId="0" topLeftCell="A1">
      <pane xSplit="4" ySplit="3" topLeftCell="L4" activePane="bottomRight" state="frozen"/>
      <selection pane="bottomRight" activeCell="AU4" sqref="AU4:AU6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36" customWidth="1"/>
    <col min="4" max="4" width="20.57421875" style="8" customWidth="1"/>
    <col min="5" max="5" width="21.7109375" style="8" customWidth="1"/>
    <col min="6" max="10" width="5.140625" style="8" hidden="1" customWidth="1"/>
    <col min="11" max="11" width="10.421875" style="26" customWidth="1"/>
    <col min="12" max="12" width="9.421875" style="26" customWidth="1"/>
    <col min="13" max="17" width="8.421875" style="26" hidden="1" customWidth="1"/>
    <col min="18" max="18" width="8.28125" style="26" hidden="1" customWidth="1"/>
    <col min="19" max="19" width="10.421875" style="26" customWidth="1"/>
    <col min="20" max="22" width="8.421875" style="26" customWidth="1"/>
    <col min="23" max="23" width="8.140625" style="26" hidden="1" customWidth="1"/>
    <col min="24" max="26" width="6.421875" style="26" hidden="1" customWidth="1"/>
    <col min="27" max="27" width="8.421875" style="26" customWidth="1"/>
    <col min="28" max="28" width="7.421875" style="26" customWidth="1"/>
    <col min="29" max="29" width="8.421875" style="26" customWidth="1"/>
    <col min="30" max="30" width="7.00390625" style="26" hidden="1" customWidth="1"/>
    <col min="31" max="31" width="8.421875" style="26" customWidth="1"/>
    <col min="32" max="33" width="7.00390625" style="26" hidden="1" customWidth="1"/>
    <col min="34" max="34" width="9.140625" style="26" hidden="1" customWidth="1"/>
    <col min="35" max="41" width="6.421875" style="26" hidden="1" customWidth="1"/>
    <col min="42" max="43" width="10.421875" style="26" customWidth="1"/>
    <col min="44" max="45" width="9.140625" style="26" customWidth="1"/>
    <col min="46" max="49" width="8.421875" style="26" customWidth="1"/>
    <col min="50" max="50" width="10.421875" style="26" customWidth="1"/>
    <col min="51" max="51" width="5.140625" style="26" customWidth="1"/>
    <col min="52" max="52" width="10.421875" style="26" customWidth="1"/>
    <col min="53" max="53" width="7.8515625" style="8" customWidth="1"/>
    <col min="54" max="16384" width="9.00390625" style="8" customWidth="1"/>
  </cols>
  <sheetData>
    <row r="1" spans="1:53" s="8" customFormat="1" ht="39.75" customHeight="1">
      <c r="A1" s="11" t="s">
        <v>77</v>
      </c>
      <c r="B1" s="11"/>
      <c r="C1" s="37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11"/>
    </row>
    <row r="2" spans="1:256" s="9" customFormat="1" ht="30" customHeight="1">
      <c r="A2" s="12" t="s">
        <v>1</v>
      </c>
      <c r="B2" s="12" t="s">
        <v>2</v>
      </c>
      <c r="C2" s="38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/>
      <c r="AV2" s="28"/>
      <c r="AW2" s="28"/>
      <c r="AX2" s="28" t="s">
        <v>78</v>
      </c>
      <c r="AY2" s="34" t="s">
        <v>20</v>
      </c>
      <c r="AZ2" s="34" t="s">
        <v>21</v>
      </c>
      <c r="BA2" s="12" t="s">
        <v>79</v>
      </c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38"/>
      <c r="D3" s="12"/>
      <c r="E3" s="12"/>
      <c r="F3" s="12"/>
      <c r="G3" s="12"/>
      <c r="H3" s="14"/>
      <c r="I3" s="14"/>
      <c r="J3" s="14"/>
      <c r="K3" s="49" t="s">
        <v>23</v>
      </c>
      <c r="L3" s="28" t="s">
        <v>24</v>
      </c>
      <c r="M3" s="28" t="s">
        <v>25</v>
      </c>
      <c r="N3" s="28" t="s">
        <v>26</v>
      </c>
      <c r="O3" s="28" t="s">
        <v>27</v>
      </c>
      <c r="P3" s="28" t="s">
        <v>28</v>
      </c>
      <c r="Q3" s="28" t="s">
        <v>29</v>
      </c>
      <c r="R3" s="28" t="s">
        <v>30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80</v>
      </c>
      <c r="AB3" s="28" t="s">
        <v>81</v>
      </c>
      <c r="AC3" s="28" t="s">
        <v>82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 t="s">
        <v>54</v>
      </c>
      <c r="AV3" s="28" t="s">
        <v>83</v>
      </c>
      <c r="AW3" s="28" t="s">
        <v>55</v>
      </c>
      <c r="AX3" s="28"/>
      <c r="AY3" s="35"/>
      <c r="AZ3" s="35"/>
      <c r="BA3" s="12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7" s="10" customFormat="1" ht="24.75" customHeight="1">
      <c r="A4" s="15">
        <v>1</v>
      </c>
      <c r="B4" s="16" t="s">
        <v>56</v>
      </c>
      <c r="C4" s="39"/>
      <c r="D4" s="15"/>
      <c r="E4" s="16"/>
      <c r="F4" s="15"/>
      <c r="G4" s="15"/>
      <c r="H4" s="15"/>
      <c r="I4" s="15"/>
      <c r="J4" s="15"/>
      <c r="K4" s="21"/>
      <c r="L4" s="21"/>
      <c r="M4" s="21"/>
      <c r="N4" s="21"/>
      <c r="O4" s="21"/>
      <c r="P4" s="44"/>
      <c r="Q4" s="45"/>
      <c r="R4" s="45"/>
      <c r="S4" s="21">
        <f>SUM(K4:R4)</f>
        <v>0</v>
      </c>
      <c r="T4" s="21">
        <f>IF(ISERROR(K4/F4*H4),"",K4/F4*H4)</f>
      </c>
      <c r="U4" s="21">
        <f>IF(ISERROR(K4/F4*I4*0.4),"",K4/F4*I4*0.4)</f>
      </c>
      <c r="V4" s="24">
        <f>SUM(T4:U4)</f>
        <v>0</v>
      </c>
      <c r="W4" s="24">
        <v>0</v>
      </c>
      <c r="X4" s="21">
        <v>0</v>
      </c>
      <c r="Y4" s="21">
        <v>0</v>
      </c>
      <c r="Z4" s="21">
        <f>SUM(W4:Y4)</f>
        <v>0</v>
      </c>
      <c r="AA4" s="21"/>
      <c r="AB4" s="21"/>
      <c r="AC4" s="21"/>
      <c r="AD4" s="21"/>
      <c r="AE4" s="21">
        <f>SUM(AA4:AD4)</f>
        <v>0</v>
      </c>
      <c r="AF4" s="21"/>
      <c r="AG4" s="21"/>
      <c r="AH4" s="21"/>
      <c r="AI4" s="21">
        <f>SUM(AF4:AH4)</f>
        <v>0</v>
      </c>
      <c r="AJ4" s="21"/>
      <c r="AK4" s="21"/>
      <c r="AL4" s="21"/>
      <c r="AM4" s="21"/>
      <c r="AN4" s="21"/>
      <c r="AO4" s="21">
        <f>SUM(AJ4:AN4)</f>
        <v>0</v>
      </c>
      <c r="AP4" s="21">
        <f>S4-V4-Z4-AE4-AI4-AO4</f>
        <v>0</v>
      </c>
      <c r="AQ4" s="21" t="str">
        <f>IF(ISERROR(AP4+VLOOKUP(D4,'2019年1月工资表'!D4:AQ18,40,FALSE)),"0",AP4+VLOOKUP(D4,'2019年1月工资表'!D4:AQ18,40,FALSE))</f>
        <v>0</v>
      </c>
      <c r="AR4" s="21">
        <f>IF(AS4-AT4&lt;0,0,AS4-AT4)</f>
        <v>0</v>
      </c>
      <c r="AS4" s="24">
        <f>ROUND(MAX((AQ4-5000*3)*{0.03,0.1,0.2,0.25,0.3,0.35,0.45}-{0,2520,16920,31920,52920,85920,181920},0),2)</f>
        <v>0</v>
      </c>
      <c r="AT4" s="24" t="str">
        <f>IF(ISERROR(VLOOKUP(D4,'2019年1月工资表'!D4:AS18,42,FALSE)),"0",VLOOKUP(D4,'2019年1月工资表'!D4:AS18,42,FALSE))</f>
        <v>0</v>
      </c>
      <c r="AU4" s="47"/>
      <c r="AV4" s="47">
        <f>ROUND(AA4+AB4+AC4+AU4,2)</f>
        <v>0</v>
      </c>
      <c r="AW4" s="21">
        <f>ROUND((K4+L4-V4)*0.005,2)</f>
        <v>0</v>
      </c>
      <c r="AX4" s="21">
        <f>S4-V4-Z4-AE4-AI4-AR4-AU4-AW4</f>
        <v>0</v>
      </c>
      <c r="AY4" s="21"/>
      <c r="AZ4" s="21">
        <f>AX4-AY4</f>
        <v>0</v>
      </c>
      <c r="BA4" s="15"/>
      <c r="BC4" s="10">
        <f>S4-AE4-5000</f>
        <v>-5000</v>
      </c>
      <c r="BD4" s="10">
        <f>AQ4-15000</f>
        <v>-15000</v>
      </c>
      <c r="BE4" s="10">
        <f>AP4-AW4-AU4</f>
        <v>0</v>
      </c>
    </row>
    <row r="5" spans="1:57" s="10" customFormat="1" ht="23.25" customHeight="1">
      <c r="A5" s="15">
        <v>2</v>
      </c>
      <c r="B5" s="16" t="s">
        <v>57</v>
      </c>
      <c r="C5" s="39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44"/>
      <c r="Q5" s="45"/>
      <c r="R5" s="45"/>
      <c r="S5" s="21">
        <f>SUM(K5:R5)</f>
        <v>0</v>
      </c>
      <c r="T5" s="21">
        <f>IF(ISERROR(K5/F5*H5),"",K5/F5*H5)</f>
      </c>
      <c r="U5" s="21">
        <f>IF(ISERROR(K5/F5*I5*0.4),"",K5/F5*I5*0.4)</f>
      </c>
      <c r="V5" s="24">
        <f>SUM(T5:U5)</f>
        <v>0</v>
      </c>
      <c r="W5" s="21"/>
      <c r="X5" s="21"/>
      <c r="Y5" s="21"/>
      <c r="Z5" s="21">
        <f>SUM(W5:Y5)</f>
        <v>0</v>
      </c>
      <c r="AA5" s="21"/>
      <c r="AB5" s="21"/>
      <c r="AC5" s="21"/>
      <c r="AD5" s="21"/>
      <c r="AE5" s="21">
        <f>SUM(AA5:AD5)</f>
        <v>0</v>
      </c>
      <c r="AF5" s="21"/>
      <c r="AG5" s="21"/>
      <c r="AH5" s="21"/>
      <c r="AI5" s="21">
        <f>SUM(AF5:AH5)</f>
        <v>0</v>
      </c>
      <c r="AJ5" s="21"/>
      <c r="AK5" s="21"/>
      <c r="AL5" s="21"/>
      <c r="AM5" s="21"/>
      <c r="AN5" s="21"/>
      <c r="AO5" s="21">
        <f>SUM(AJ5:AN5)</f>
        <v>0</v>
      </c>
      <c r="AP5" s="21">
        <f aca="true" t="shared" si="0" ref="AP5:AP19">S5-V5-Z5-AE5-AI5-AO5</f>
        <v>0</v>
      </c>
      <c r="AQ5" s="21" t="str">
        <f>IF(ISERROR(AP5+VLOOKUP(D5,'2019年1月工资表'!D5:AQ19,40,FALSE)),"0",AP5+VLOOKUP(D5,'2019年1月工资表'!D5:AQ19,40,FALSE))</f>
        <v>0</v>
      </c>
      <c r="AR5" s="21">
        <f>IF(AS5-AT5&lt;0,0,AS5-AT5)</f>
        <v>0</v>
      </c>
      <c r="AS5" s="24">
        <f>ROUND(MAX((AQ5-5000*3)*{0.03,0.1,0.2,0.25,0.3,0.35,0.45}-{0,2520,16920,31920,52920,85920,181920},0),2)</f>
        <v>0</v>
      </c>
      <c r="AT5" s="24" t="str">
        <f>IF(ISERROR(VLOOKUP(D5,'2019年1月工资表'!D6:AS23,42,FALSE)),"0",VLOOKUP(D5,'2019年1月工资表'!D6:AS23,42,FALSE))</f>
        <v>0</v>
      </c>
      <c r="AU5" s="47"/>
      <c r="AV5" s="47">
        <f>ROUND(AA5+AB5+AC5+AU5,2)</f>
        <v>0</v>
      </c>
      <c r="AW5" s="21">
        <f>ROUND((K5+L5-V5)*0.005,2)</f>
        <v>0</v>
      </c>
      <c r="AX5" s="21">
        <f>S5-V5-Z5-AE5-AI5-AR5-AU5-AW5</f>
        <v>0</v>
      </c>
      <c r="AY5" s="21"/>
      <c r="AZ5" s="21">
        <f>AX5-AY5</f>
        <v>0</v>
      </c>
      <c r="BA5" s="15"/>
      <c r="BD5" s="10">
        <f>AQ5-15000</f>
        <v>-15000</v>
      </c>
      <c r="BE5" s="10">
        <f aca="true" t="shared" si="1" ref="BE5:BE20">AP5-AW5-AU5</f>
        <v>0</v>
      </c>
    </row>
    <row r="6" spans="1:57" s="10" customFormat="1" ht="23.25" customHeight="1">
      <c r="A6" s="15">
        <v>3</v>
      </c>
      <c r="B6" s="16" t="s">
        <v>58</v>
      </c>
      <c r="C6" s="39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44"/>
      <c r="Q6" s="45"/>
      <c r="R6" s="45"/>
      <c r="S6" s="21">
        <f aca="true" t="shared" si="2" ref="S6:S19">SUM(K6:R6)</f>
        <v>0</v>
      </c>
      <c r="T6" s="21">
        <f aca="true" t="shared" si="3" ref="T6:T16">IF(ISERROR(K6/F6*H6),"",K6/F6*H6)</f>
      </c>
      <c r="U6" s="21">
        <f aca="true" t="shared" si="4" ref="U6:U16">IF(ISERROR(K6/F6*I6*0.4),"",K6/F6*I6*0.4)</f>
      </c>
      <c r="V6" s="24">
        <f aca="true" t="shared" si="5" ref="V6:V19">SUM(T6:U6)</f>
        <v>0</v>
      </c>
      <c r="W6" s="21"/>
      <c r="X6" s="21"/>
      <c r="Y6" s="21"/>
      <c r="Z6" s="21">
        <f aca="true" t="shared" si="6" ref="Z6:Z16">SUM(W6:Y6)</f>
        <v>0</v>
      </c>
      <c r="AA6" s="21"/>
      <c r="AB6" s="21"/>
      <c r="AC6" s="21"/>
      <c r="AD6" s="21"/>
      <c r="AE6" s="21">
        <f aca="true" t="shared" si="7" ref="AE6:AE19">SUM(AA6:AD6)</f>
        <v>0</v>
      </c>
      <c r="AF6" s="21"/>
      <c r="AG6" s="21"/>
      <c r="AH6" s="21"/>
      <c r="AI6" s="21">
        <f aca="true" t="shared" si="8" ref="AI6:AI16">SUM(AF6:AH6)</f>
        <v>0</v>
      </c>
      <c r="AJ6" s="21"/>
      <c r="AK6" s="21"/>
      <c r="AL6" s="21"/>
      <c r="AM6" s="21"/>
      <c r="AN6" s="21"/>
      <c r="AO6" s="21">
        <f aca="true" t="shared" si="9" ref="AO6:AO19">SUM(AJ6:AN6)</f>
        <v>0</v>
      </c>
      <c r="AP6" s="21">
        <f t="shared" si="0"/>
        <v>0</v>
      </c>
      <c r="AQ6" s="21" t="str">
        <f>IF(ISERROR(AP6+VLOOKUP(D6,'2019年1月工资表'!D6:AQ20,40,FALSE)),"0",AP6+VLOOKUP(D6,'2019年1月工资表'!D6:AQ20,40,FALSE))</f>
        <v>0</v>
      </c>
      <c r="AR6" s="21">
        <f aca="true" t="shared" si="10" ref="AR6:AR19">IF(AS6-AT6&lt;0,0,AS6-AT6)</f>
        <v>0</v>
      </c>
      <c r="AS6" s="24">
        <f>ROUND(MAX((AQ6-5000*3)*{0.03,0.1,0.2,0.25,0.3,0.35,0.45}-{0,2520,16920,31920,52920,85920,181920},0),2)</f>
        <v>0</v>
      </c>
      <c r="AT6" s="24" t="str">
        <f>IF(ISERROR(VLOOKUP(D6,'2019年1月工资表'!D8:AS25,42,FALSE)),"0",VLOOKUP(D6,'2019年1月工资表'!D8:AS25,42,FALSE))</f>
        <v>0</v>
      </c>
      <c r="AU6" s="47"/>
      <c r="AV6" s="47">
        <f>ROUND(AA6+AB6+AC6+AU6,2)</f>
        <v>0</v>
      </c>
      <c r="AW6" s="21">
        <f>ROUND((K6+L6-V6)*0.005,2)</f>
        <v>0</v>
      </c>
      <c r="AX6" s="21">
        <f aca="true" t="shared" si="11" ref="AX6:AX19">S6-V6-Z6-AE6-AI6-AR6-AU6-AW6</f>
        <v>0</v>
      </c>
      <c r="AY6" s="21"/>
      <c r="AZ6" s="21">
        <f aca="true" t="shared" si="12" ref="AZ6:AZ19">AX6-AY6</f>
        <v>0</v>
      </c>
      <c r="BA6" s="15"/>
      <c r="BD6" s="10">
        <f>AQ6-15000</f>
        <v>-15000</v>
      </c>
      <c r="BE6" s="10">
        <f t="shared" si="1"/>
        <v>0</v>
      </c>
    </row>
    <row r="7" spans="1:57" s="10" customFormat="1" ht="23.25" customHeight="1">
      <c r="A7" s="15">
        <v>4</v>
      </c>
      <c r="B7" s="16" t="s">
        <v>59</v>
      </c>
      <c r="C7" s="39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44"/>
      <c r="Q7" s="45"/>
      <c r="R7" s="45"/>
      <c r="S7" s="21">
        <f t="shared" si="2"/>
        <v>0</v>
      </c>
      <c r="T7" s="21">
        <f t="shared" si="3"/>
      </c>
      <c r="U7" s="21">
        <f t="shared" si="4"/>
      </c>
      <c r="V7" s="24">
        <f t="shared" si="5"/>
        <v>0</v>
      </c>
      <c r="W7" s="21"/>
      <c r="X7" s="21"/>
      <c r="Y7" s="21"/>
      <c r="Z7" s="21">
        <f t="shared" si="6"/>
        <v>0</v>
      </c>
      <c r="AA7" s="21"/>
      <c r="AB7" s="21"/>
      <c r="AC7" s="21"/>
      <c r="AD7" s="21"/>
      <c r="AE7" s="21">
        <f t="shared" si="7"/>
        <v>0</v>
      </c>
      <c r="AF7" s="21"/>
      <c r="AG7" s="21"/>
      <c r="AH7" s="21"/>
      <c r="AI7" s="21">
        <f t="shared" si="8"/>
        <v>0</v>
      </c>
      <c r="AJ7" s="21"/>
      <c r="AK7" s="21"/>
      <c r="AL7" s="21"/>
      <c r="AM7" s="21"/>
      <c r="AN7" s="21"/>
      <c r="AO7" s="21">
        <f t="shared" si="9"/>
        <v>0</v>
      </c>
      <c r="AP7" s="21">
        <f t="shared" si="0"/>
        <v>0</v>
      </c>
      <c r="AQ7" s="21" t="str">
        <f>IF(ISERROR(AP7+VLOOKUP(D7,'2019年1月工资表'!D7:AQ21,40,FALSE)),"0",AP7+VLOOKUP(D7,'2019年1月工资表'!D7:AQ21,40,FALSE))</f>
        <v>0</v>
      </c>
      <c r="AR7" s="21">
        <f t="shared" si="10"/>
        <v>0</v>
      </c>
      <c r="AS7" s="24">
        <f>ROUND(MAX((AQ7-5000*3)*{0.03,0.1,0.2,0.25,0.3,0.35,0.45}-{0,2520,16920,31920,52920,85920,181920},0),2)</f>
        <v>0</v>
      </c>
      <c r="AT7" s="24" t="str">
        <f>IF(ISERROR(VLOOKUP(D7,'2019年1月工资表'!D9:AS26,42,FALSE)),"0",VLOOKUP(D7,'2019年1月工资表'!D9:AS26,42,FALSE))</f>
        <v>0</v>
      </c>
      <c r="AU7" s="47"/>
      <c r="AV7" s="47"/>
      <c r="AW7" s="21"/>
      <c r="AX7" s="21">
        <f t="shared" si="11"/>
        <v>0</v>
      </c>
      <c r="AY7" s="21"/>
      <c r="AZ7" s="21">
        <f t="shared" si="12"/>
        <v>0</v>
      </c>
      <c r="BA7" s="15"/>
      <c r="BE7" s="10">
        <f t="shared" si="1"/>
        <v>0</v>
      </c>
    </row>
    <row r="8" spans="1:57" s="10" customFormat="1" ht="23.25" customHeight="1">
      <c r="A8" s="15">
        <v>5</v>
      </c>
      <c r="B8" s="16" t="s">
        <v>60</v>
      </c>
      <c r="C8" s="39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45"/>
      <c r="Q8" s="45"/>
      <c r="R8" s="45"/>
      <c r="S8" s="21">
        <f t="shared" si="2"/>
        <v>0</v>
      </c>
      <c r="T8" s="21">
        <f t="shared" si="3"/>
      </c>
      <c r="U8" s="21">
        <f t="shared" si="4"/>
      </c>
      <c r="V8" s="24">
        <f t="shared" si="5"/>
        <v>0</v>
      </c>
      <c r="W8" s="21"/>
      <c r="X8" s="21"/>
      <c r="Y8" s="21"/>
      <c r="Z8" s="21">
        <f t="shared" si="6"/>
        <v>0</v>
      </c>
      <c r="AA8" s="21"/>
      <c r="AB8" s="21"/>
      <c r="AC8" s="21"/>
      <c r="AD8" s="21"/>
      <c r="AE8" s="21">
        <f t="shared" si="7"/>
        <v>0</v>
      </c>
      <c r="AF8" s="21"/>
      <c r="AG8" s="21"/>
      <c r="AH8" s="21"/>
      <c r="AI8" s="21">
        <f t="shared" si="8"/>
        <v>0</v>
      </c>
      <c r="AJ8" s="21"/>
      <c r="AK8" s="21"/>
      <c r="AL8" s="21"/>
      <c r="AM8" s="21"/>
      <c r="AN8" s="21"/>
      <c r="AO8" s="21">
        <f t="shared" si="9"/>
        <v>0</v>
      </c>
      <c r="AP8" s="21">
        <f t="shared" si="0"/>
        <v>0</v>
      </c>
      <c r="AQ8" s="21" t="str">
        <f>IF(ISERROR(AP8+VLOOKUP(D8,'2019年1月工资表'!D8:AQ22,40,FALSE)),"0",AP8+VLOOKUP(D8,'2019年1月工资表'!D8:AQ22,40,FALSE))</f>
        <v>0</v>
      </c>
      <c r="AR8" s="21">
        <f t="shared" si="10"/>
        <v>0</v>
      </c>
      <c r="AS8" s="24">
        <f>ROUND(MAX((AQ8-5000*3)*{0.03,0.1,0.2,0.25,0.3,0.35,0.45}-{0,2520,16920,31920,52920,85920,181920},0),2)</f>
        <v>0</v>
      </c>
      <c r="AT8" s="24" t="str">
        <f>IF(ISERROR(VLOOKUP(D8,'2019年1月工资表'!D10:AS27,42,FALSE)),"0",VLOOKUP(D8,'2019年1月工资表'!D10:AS27,42,FALSE))</f>
        <v>0</v>
      </c>
      <c r="AU8" s="47"/>
      <c r="AV8" s="47"/>
      <c r="AW8" s="21"/>
      <c r="AX8" s="21">
        <f t="shared" si="11"/>
        <v>0</v>
      </c>
      <c r="AY8" s="21"/>
      <c r="AZ8" s="21">
        <f t="shared" si="12"/>
        <v>0</v>
      </c>
      <c r="BA8" s="15"/>
      <c r="BE8" s="10">
        <f t="shared" si="1"/>
        <v>0</v>
      </c>
    </row>
    <row r="9" spans="1:57" s="10" customFormat="1" ht="23.25" customHeight="1">
      <c r="A9" s="15">
        <v>6</v>
      </c>
      <c r="B9" s="16" t="s">
        <v>61</v>
      </c>
      <c r="C9" s="39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P9" s="45"/>
      <c r="Q9" s="45"/>
      <c r="R9" s="45"/>
      <c r="S9" s="21">
        <f t="shared" si="2"/>
        <v>0</v>
      </c>
      <c r="T9" s="21">
        <f t="shared" si="3"/>
      </c>
      <c r="U9" s="21">
        <f t="shared" si="4"/>
      </c>
      <c r="V9" s="24">
        <f t="shared" si="5"/>
        <v>0</v>
      </c>
      <c r="W9" s="21"/>
      <c r="X9" s="21"/>
      <c r="Y9" s="21"/>
      <c r="Z9" s="21">
        <f t="shared" si="6"/>
        <v>0</v>
      </c>
      <c r="AA9" s="21"/>
      <c r="AB9" s="21"/>
      <c r="AC9" s="21"/>
      <c r="AD9" s="21"/>
      <c r="AE9" s="21">
        <f t="shared" si="7"/>
        <v>0</v>
      </c>
      <c r="AF9" s="21"/>
      <c r="AG9" s="21"/>
      <c r="AH9" s="21"/>
      <c r="AI9" s="21">
        <f t="shared" si="8"/>
        <v>0</v>
      </c>
      <c r="AJ9" s="21"/>
      <c r="AK9" s="21"/>
      <c r="AL9" s="21"/>
      <c r="AM9" s="21"/>
      <c r="AN9" s="21"/>
      <c r="AO9" s="21">
        <f t="shared" si="9"/>
        <v>0</v>
      </c>
      <c r="AP9" s="21">
        <f t="shared" si="0"/>
        <v>0</v>
      </c>
      <c r="AQ9" s="21" t="str">
        <f>IF(ISERROR(AP9+VLOOKUP(D9,'2019年1月工资表'!D9:AQ23,40,FALSE)),"0",AP9+VLOOKUP(D9,'2019年1月工资表'!D9:AQ23,40,FALSE))</f>
        <v>0</v>
      </c>
      <c r="AR9" s="21">
        <f t="shared" si="10"/>
        <v>0</v>
      </c>
      <c r="AS9" s="24">
        <f>ROUND(MAX((AQ9-5000*3)*{0.03,0.1,0.2,0.25,0.3,0.35,0.45}-{0,2520,16920,31920,52920,85920,181920},0),2)</f>
        <v>0</v>
      </c>
      <c r="AT9" s="24" t="str">
        <f>IF(ISERROR(VLOOKUP(D9,'2019年1月工资表'!D11:AS28,42,FALSE)),"0",VLOOKUP(D9,'2019年1月工资表'!D11:AS28,42,FALSE))</f>
        <v>0</v>
      </c>
      <c r="AU9" s="47"/>
      <c r="AV9" s="47"/>
      <c r="AW9" s="21"/>
      <c r="AX9" s="21">
        <f t="shared" si="11"/>
        <v>0</v>
      </c>
      <c r="AY9" s="21"/>
      <c r="AZ9" s="21">
        <f t="shared" si="12"/>
        <v>0</v>
      </c>
      <c r="BA9" s="15"/>
      <c r="BE9" s="10">
        <f t="shared" si="1"/>
        <v>0</v>
      </c>
    </row>
    <row r="10" spans="1:57" s="10" customFormat="1" ht="23.25" customHeight="1">
      <c r="A10" s="15">
        <v>7</v>
      </c>
      <c r="B10" s="16" t="s">
        <v>62</v>
      </c>
      <c r="C10" s="39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45"/>
      <c r="Q10" s="45"/>
      <c r="R10" s="45"/>
      <c r="S10" s="21">
        <f t="shared" si="2"/>
        <v>0</v>
      </c>
      <c r="T10" s="21">
        <f t="shared" si="3"/>
      </c>
      <c r="U10" s="21">
        <f t="shared" si="4"/>
      </c>
      <c r="V10" s="24">
        <f t="shared" si="5"/>
        <v>0</v>
      </c>
      <c r="W10" s="21"/>
      <c r="X10" s="21"/>
      <c r="Y10" s="21"/>
      <c r="Z10" s="21">
        <f t="shared" si="6"/>
        <v>0</v>
      </c>
      <c r="AA10" s="21"/>
      <c r="AB10" s="21"/>
      <c r="AC10" s="21"/>
      <c r="AD10" s="21"/>
      <c r="AE10" s="21">
        <f t="shared" si="7"/>
        <v>0</v>
      </c>
      <c r="AF10" s="21"/>
      <c r="AG10" s="21"/>
      <c r="AH10" s="21"/>
      <c r="AI10" s="21">
        <f t="shared" si="8"/>
        <v>0</v>
      </c>
      <c r="AJ10" s="21"/>
      <c r="AK10" s="21"/>
      <c r="AL10" s="21"/>
      <c r="AM10" s="21"/>
      <c r="AN10" s="21"/>
      <c r="AO10" s="21">
        <f t="shared" si="9"/>
        <v>0</v>
      </c>
      <c r="AP10" s="21">
        <f t="shared" si="0"/>
        <v>0</v>
      </c>
      <c r="AQ10" s="21" t="str">
        <f>IF(ISERROR(AP10+VLOOKUP(D10,'2019年1月工资表'!D10:AQ24,40,FALSE)),"0",AP10+VLOOKUP(D10,'2019年1月工资表'!D10:AQ24,40,FALSE))</f>
        <v>0</v>
      </c>
      <c r="AR10" s="21">
        <f t="shared" si="10"/>
        <v>0</v>
      </c>
      <c r="AS10" s="24">
        <f>ROUND(MAX((AQ10-5000*3)*{0.03,0.1,0.2,0.25,0.3,0.35,0.45}-{0,2520,16920,31920,52920,85920,181920},0),2)</f>
        <v>0</v>
      </c>
      <c r="AT10" s="24" t="str">
        <f>IF(ISERROR(VLOOKUP(D10,'2019年1月工资表'!D12:AS29,42,FALSE)),"0",VLOOKUP(D10,'2019年1月工资表'!D12:AS29,42,FALSE))</f>
        <v>0</v>
      </c>
      <c r="AU10" s="47"/>
      <c r="AV10" s="47"/>
      <c r="AW10" s="21"/>
      <c r="AX10" s="21">
        <f t="shared" si="11"/>
        <v>0</v>
      </c>
      <c r="AY10" s="21"/>
      <c r="AZ10" s="21">
        <f t="shared" si="12"/>
        <v>0</v>
      </c>
      <c r="BA10" s="15"/>
      <c r="BE10" s="10">
        <f t="shared" si="1"/>
        <v>0</v>
      </c>
    </row>
    <row r="11" spans="1:57" s="10" customFormat="1" ht="23.25" customHeight="1">
      <c r="A11" s="15">
        <v>8</v>
      </c>
      <c r="B11" s="16" t="s">
        <v>63</v>
      </c>
      <c r="C11" s="39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45"/>
      <c r="Q11" s="45"/>
      <c r="R11" s="45"/>
      <c r="S11" s="21">
        <f t="shared" si="2"/>
        <v>0</v>
      </c>
      <c r="T11" s="21">
        <f t="shared" si="3"/>
      </c>
      <c r="U11" s="21">
        <f t="shared" si="4"/>
      </c>
      <c r="V11" s="24">
        <f t="shared" si="5"/>
        <v>0</v>
      </c>
      <c r="W11" s="21"/>
      <c r="X11" s="21"/>
      <c r="Y11" s="21"/>
      <c r="Z11" s="21">
        <f t="shared" si="6"/>
        <v>0</v>
      </c>
      <c r="AA11" s="21"/>
      <c r="AB11" s="21"/>
      <c r="AC11" s="21"/>
      <c r="AD11" s="21"/>
      <c r="AE11" s="21">
        <f t="shared" si="7"/>
        <v>0</v>
      </c>
      <c r="AF11" s="21"/>
      <c r="AG11" s="21"/>
      <c r="AH11" s="21"/>
      <c r="AI11" s="21">
        <f t="shared" si="8"/>
        <v>0</v>
      </c>
      <c r="AJ11" s="21"/>
      <c r="AK11" s="21"/>
      <c r="AL11" s="21"/>
      <c r="AM11" s="21"/>
      <c r="AN11" s="21"/>
      <c r="AO11" s="21">
        <f t="shared" si="9"/>
        <v>0</v>
      </c>
      <c r="AP11" s="21">
        <f t="shared" si="0"/>
        <v>0</v>
      </c>
      <c r="AQ11" s="21" t="str">
        <f>IF(ISERROR(AP11+VLOOKUP(D11,'2019年1月工资表'!D11:AQ25,40,FALSE)),"0",AP11+VLOOKUP(D11,'2019年1月工资表'!D11:AQ25,40,FALSE))</f>
        <v>0</v>
      </c>
      <c r="AR11" s="21">
        <f t="shared" si="10"/>
        <v>0</v>
      </c>
      <c r="AS11" s="24">
        <f>ROUND(MAX((AQ11-5000*3)*{0.03,0.1,0.2,0.25,0.3,0.35,0.45}-{0,2520,16920,31920,52920,85920,181920},0),2)</f>
        <v>0</v>
      </c>
      <c r="AT11" s="24" t="str">
        <f>IF(ISERROR(VLOOKUP(D11,'2019年1月工资表'!D13:AS30,42,FALSE)),"0",VLOOKUP(D11,'2019年1月工资表'!D13:AS30,42,FALSE))</f>
        <v>0</v>
      </c>
      <c r="AU11" s="47"/>
      <c r="AV11" s="47"/>
      <c r="AW11" s="21"/>
      <c r="AX11" s="21">
        <f t="shared" si="11"/>
        <v>0</v>
      </c>
      <c r="AY11" s="21"/>
      <c r="AZ11" s="21">
        <f t="shared" si="12"/>
        <v>0</v>
      </c>
      <c r="BA11" s="15"/>
      <c r="BE11" s="10">
        <f t="shared" si="1"/>
        <v>0</v>
      </c>
    </row>
    <row r="12" spans="1:57" s="10" customFormat="1" ht="23.25" customHeight="1">
      <c r="A12" s="15">
        <v>9</v>
      </c>
      <c r="B12" s="16" t="s">
        <v>64</v>
      </c>
      <c r="C12" s="39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44"/>
      <c r="Q12" s="45"/>
      <c r="R12" s="45"/>
      <c r="S12" s="21">
        <f t="shared" si="2"/>
        <v>0</v>
      </c>
      <c r="T12" s="21">
        <f t="shared" si="3"/>
      </c>
      <c r="U12" s="21">
        <f t="shared" si="4"/>
      </c>
      <c r="V12" s="24">
        <f t="shared" si="5"/>
        <v>0</v>
      </c>
      <c r="W12" s="21"/>
      <c r="X12" s="21"/>
      <c r="Y12" s="21"/>
      <c r="Z12" s="21">
        <f t="shared" si="6"/>
        <v>0</v>
      </c>
      <c r="AA12" s="21"/>
      <c r="AB12" s="21"/>
      <c r="AC12" s="21"/>
      <c r="AD12" s="21"/>
      <c r="AE12" s="21">
        <f t="shared" si="7"/>
        <v>0</v>
      </c>
      <c r="AF12" s="21"/>
      <c r="AG12" s="21"/>
      <c r="AH12" s="21"/>
      <c r="AI12" s="21">
        <f t="shared" si="8"/>
        <v>0</v>
      </c>
      <c r="AJ12" s="21"/>
      <c r="AK12" s="21"/>
      <c r="AL12" s="21"/>
      <c r="AM12" s="21"/>
      <c r="AN12" s="21"/>
      <c r="AO12" s="21">
        <f t="shared" si="9"/>
        <v>0</v>
      </c>
      <c r="AP12" s="21">
        <f t="shared" si="0"/>
        <v>0</v>
      </c>
      <c r="AQ12" s="21" t="str">
        <f>IF(ISERROR(AP12+VLOOKUP(D12,'2019年1月工资表'!D12:AQ26,40,FALSE)),"0",AP12+VLOOKUP(D12,'2019年1月工资表'!D12:AQ26,40,FALSE))</f>
        <v>0</v>
      </c>
      <c r="AR12" s="21">
        <f t="shared" si="10"/>
        <v>0</v>
      </c>
      <c r="AS12" s="24">
        <f>ROUND(MAX((AQ12-5000*3)*{0.03,0.1,0.2,0.25,0.3,0.35,0.45}-{0,2520,16920,31920,52920,85920,181920},0),2)</f>
        <v>0</v>
      </c>
      <c r="AT12" s="24" t="str">
        <f>IF(ISERROR(VLOOKUP(D12,'2019年1月工资表'!D14:AS31,42,FALSE)),"0",VLOOKUP(D12,'2019年1月工资表'!D14:AS31,42,FALSE))</f>
        <v>0</v>
      </c>
      <c r="AU12" s="47"/>
      <c r="AV12" s="47"/>
      <c r="AW12" s="21"/>
      <c r="AX12" s="21">
        <f t="shared" si="11"/>
        <v>0</v>
      </c>
      <c r="AY12" s="21"/>
      <c r="AZ12" s="21">
        <f t="shared" si="12"/>
        <v>0</v>
      </c>
      <c r="BA12" s="15"/>
      <c r="BE12" s="10">
        <f t="shared" si="1"/>
        <v>0</v>
      </c>
    </row>
    <row r="13" spans="1:57" s="10" customFormat="1" ht="23.25" customHeight="1">
      <c r="A13" s="15">
        <v>10</v>
      </c>
      <c r="B13" s="16" t="s">
        <v>65</v>
      </c>
      <c r="C13" s="39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45"/>
      <c r="Q13" s="45"/>
      <c r="R13" s="45"/>
      <c r="S13" s="21">
        <f t="shared" si="2"/>
        <v>0</v>
      </c>
      <c r="T13" s="21">
        <f t="shared" si="3"/>
      </c>
      <c r="U13" s="21">
        <f t="shared" si="4"/>
      </c>
      <c r="V13" s="24">
        <f t="shared" si="5"/>
        <v>0</v>
      </c>
      <c r="W13" s="21"/>
      <c r="X13" s="21"/>
      <c r="Y13" s="21"/>
      <c r="Z13" s="21">
        <f t="shared" si="6"/>
        <v>0</v>
      </c>
      <c r="AA13" s="21"/>
      <c r="AB13" s="21"/>
      <c r="AC13" s="21"/>
      <c r="AD13" s="21"/>
      <c r="AE13" s="21">
        <f t="shared" si="7"/>
        <v>0</v>
      </c>
      <c r="AF13" s="21"/>
      <c r="AG13" s="21"/>
      <c r="AH13" s="21"/>
      <c r="AI13" s="21">
        <f t="shared" si="8"/>
        <v>0</v>
      </c>
      <c r="AJ13" s="21"/>
      <c r="AK13" s="21"/>
      <c r="AL13" s="21"/>
      <c r="AM13" s="21"/>
      <c r="AN13" s="21"/>
      <c r="AO13" s="21">
        <f t="shared" si="9"/>
        <v>0</v>
      </c>
      <c r="AP13" s="21">
        <f t="shared" si="0"/>
        <v>0</v>
      </c>
      <c r="AQ13" s="21" t="str">
        <f>IF(ISERROR(AP13+VLOOKUP(D13,'2019年1月工资表'!D13:AQ27,40,FALSE)),"0",AP13+VLOOKUP(D13,'2019年1月工资表'!D13:AQ27,40,FALSE))</f>
        <v>0</v>
      </c>
      <c r="AR13" s="21">
        <f t="shared" si="10"/>
        <v>0</v>
      </c>
      <c r="AS13" s="24">
        <f>ROUND(MAX((AQ13-5000*3)*{0.03,0.1,0.2,0.25,0.3,0.35,0.45}-{0,2520,16920,31920,52920,85920,181920},0),2)</f>
        <v>0</v>
      </c>
      <c r="AT13" s="24" t="str">
        <f>IF(ISERROR(VLOOKUP(D13,'2019年1月工资表'!D15:AS32,42,FALSE)),"0",VLOOKUP(D13,'2019年1月工资表'!D15:AS32,42,FALSE))</f>
        <v>0</v>
      </c>
      <c r="AU13" s="47"/>
      <c r="AV13" s="47"/>
      <c r="AW13" s="21"/>
      <c r="AX13" s="21">
        <f t="shared" si="11"/>
        <v>0</v>
      </c>
      <c r="AY13" s="21"/>
      <c r="AZ13" s="21">
        <f t="shared" si="12"/>
        <v>0</v>
      </c>
      <c r="BA13" s="15"/>
      <c r="BE13" s="10">
        <f t="shared" si="1"/>
        <v>0</v>
      </c>
    </row>
    <row r="14" spans="1:57" s="10" customFormat="1" ht="23.25" customHeight="1">
      <c r="A14" s="15">
        <v>11</v>
      </c>
      <c r="B14" s="16" t="s">
        <v>66</v>
      </c>
      <c r="C14" s="39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45"/>
      <c r="Q14" s="45"/>
      <c r="R14" s="45"/>
      <c r="S14" s="21">
        <f t="shared" si="2"/>
        <v>0</v>
      </c>
      <c r="T14" s="21">
        <f t="shared" si="3"/>
      </c>
      <c r="U14" s="21">
        <f t="shared" si="4"/>
      </c>
      <c r="V14" s="24">
        <f t="shared" si="5"/>
        <v>0</v>
      </c>
      <c r="W14" s="21"/>
      <c r="X14" s="21"/>
      <c r="Y14" s="21"/>
      <c r="Z14" s="21">
        <f t="shared" si="6"/>
        <v>0</v>
      </c>
      <c r="AA14" s="21"/>
      <c r="AB14" s="21"/>
      <c r="AC14" s="21"/>
      <c r="AD14" s="21"/>
      <c r="AE14" s="21">
        <f t="shared" si="7"/>
        <v>0</v>
      </c>
      <c r="AF14" s="21"/>
      <c r="AG14" s="21"/>
      <c r="AH14" s="21"/>
      <c r="AI14" s="21">
        <f t="shared" si="8"/>
        <v>0</v>
      </c>
      <c r="AJ14" s="21"/>
      <c r="AK14" s="21"/>
      <c r="AL14" s="21"/>
      <c r="AM14" s="21"/>
      <c r="AN14" s="21"/>
      <c r="AO14" s="21">
        <f t="shared" si="9"/>
        <v>0</v>
      </c>
      <c r="AP14" s="21">
        <f t="shared" si="0"/>
        <v>0</v>
      </c>
      <c r="AQ14" s="21" t="str">
        <f>IF(ISERROR(AP14+VLOOKUP(D14,'2019年1月工资表'!D14:AQ28,40,FALSE)),"0",AP14+VLOOKUP(D14,'2019年1月工资表'!D14:AQ28,40,FALSE))</f>
        <v>0</v>
      </c>
      <c r="AR14" s="21">
        <f t="shared" si="10"/>
        <v>0</v>
      </c>
      <c r="AS14" s="24">
        <f>ROUND(MAX((AQ14-5000*3)*{0.03,0.1,0.2,0.25,0.3,0.35,0.45}-{0,2520,16920,31920,52920,85920,181920},0),2)</f>
        <v>0</v>
      </c>
      <c r="AT14" s="24" t="str">
        <f>IF(ISERROR(VLOOKUP(D14,'2019年1月工资表'!D17:AS34,42,FALSE)),"0",VLOOKUP(D14,'2019年1月工资表'!D17:AS34,42,FALSE))</f>
        <v>0</v>
      </c>
      <c r="AU14" s="47"/>
      <c r="AV14" s="47"/>
      <c r="AW14" s="21"/>
      <c r="AX14" s="21">
        <f t="shared" si="11"/>
        <v>0</v>
      </c>
      <c r="AY14" s="21"/>
      <c r="AZ14" s="21">
        <f t="shared" si="12"/>
        <v>0</v>
      </c>
      <c r="BA14" s="15"/>
      <c r="BE14" s="10">
        <f t="shared" si="1"/>
        <v>0</v>
      </c>
    </row>
    <row r="15" spans="1:57" s="10" customFormat="1" ht="23.25" customHeight="1">
      <c r="A15" s="15">
        <v>12</v>
      </c>
      <c r="B15" s="16" t="s">
        <v>67</v>
      </c>
      <c r="C15" s="39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45"/>
      <c r="Q15" s="45"/>
      <c r="R15" s="45"/>
      <c r="S15" s="21">
        <f t="shared" si="2"/>
        <v>0</v>
      </c>
      <c r="T15" s="21"/>
      <c r="U15" s="21"/>
      <c r="V15" s="24">
        <f t="shared" si="5"/>
        <v>0</v>
      </c>
      <c r="W15" s="21"/>
      <c r="X15" s="21"/>
      <c r="Y15" s="21"/>
      <c r="Z15" s="21"/>
      <c r="AA15" s="21"/>
      <c r="AB15" s="21"/>
      <c r="AC15" s="21"/>
      <c r="AD15" s="21"/>
      <c r="AE15" s="21">
        <f t="shared" si="7"/>
        <v>0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f t="shared" si="9"/>
        <v>0</v>
      </c>
      <c r="AP15" s="21">
        <f t="shared" si="0"/>
        <v>0</v>
      </c>
      <c r="AQ15" s="21" t="str">
        <f>IF(ISERROR(AP15+VLOOKUP(D15,'2019年1月工资表'!D15:AQ29,40,FALSE)),"0",AP15+VLOOKUP(D15,'2019年1月工资表'!D15:AQ29,40,FALSE))</f>
        <v>0</v>
      </c>
      <c r="AR15" s="21">
        <f t="shared" si="10"/>
        <v>0</v>
      </c>
      <c r="AS15" s="24">
        <f>ROUND(MAX((AQ15-5000*3)*{0.03,0.1,0.2,0.25,0.3,0.35,0.45}-{0,2520,16920,31920,52920,85920,181920},0),2)</f>
        <v>0</v>
      </c>
      <c r="AT15" s="24" t="str">
        <f>IF(ISERROR(VLOOKUP(D15,'2019年1月工资表'!D18:AS35,42,FALSE)),"0",VLOOKUP(D15,'2019年1月工资表'!D18:AS35,42,FALSE))</f>
        <v>0</v>
      </c>
      <c r="AU15" s="47"/>
      <c r="AV15" s="47"/>
      <c r="AW15" s="21"/>
      <c r="AX15" s="21">
        <f t="shared" si="11"/>
        <v>0</v>
      </c>
      <c r="AY15" s="21"/>
      <c r="AZ15" s="21">
        <f t="shared" si="12"/>
        <v>0</v>
      </c>
      <c r="BA15" s="15"/>
      <c r="BE15" s="10">
        <f t="shared" si="1"/>
        <v>0</v>
      </c>
    </row>
    <row r="16" spans="1:57" s="10" customFormat="1" ht="23.25" customHeight="1">
      <c r="A16" s="15">
        <v>13</v>
      </c>
      <c r="B16" s="16" t="s">
        <v>68</v>
      </c>
      <c r="C16" s="39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45"/>
      <c r="Q16" s="45"/>
      <c r="R16" s="45"/>
      <c r="S16" s="21">
        <f t="shared" si="2"/>
        <v>0</v>
      </c>
      <c r="T16" s="21"/>
      <c r="U16" s="21"/>
      <c r="V16" s="24">
        <f t="shared" si="5"/>
        <v>0</v>
      </c>
      <c r="W16" s="21"/>
      <c r="X16" s="21"/>
      <c r="Y16" s="21"/>
      <c r="Z16" s="21"/>
      <c r="AA16" s="21"/>
      <c r="AB16" s="21"/>
      <c r="AC16" s="21"/>
      <c r="AD16" s="21"/>
      <c r="AE16" s="21">
        <f t="shared" si="7"/>
        <v>0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f t="shared" si="9"/>
        <v>0</v>
      </c>
      <c r="AP16" s="21">
        <f t="shared" si="0"/>
        <v>0</v>
      </c>
      <c r="AQ16" s="21" t="str">
        <f>IF(ISERROR(AP16+VLOOKUP(D16,'2019年1月工资表'!D16:AQ30,40,FALSE)),"0",AP16+VLOOKUP(D16,'2019年1月工资表'!D16:AQ30,40,FALSE))</f>
        <v>0</v>
      </c>
      <c r="AR16" s="21">
        <f t="shared" si="10"/>
        <v>0</v>
      </c>
      <c r="AS16" s="24">
        <f>ROUND(MAX((AQ16-5000*3)*{0.03,0.1,0.2,0.25,0.3,0.35,0.45}-{0,2520,16920,31920,52920,85920,181920},0),2)</f>
        <v>0</v>
      </c>
      <c r="AT16" s="24" t="str">
        <f>IF(ISERROR(VLOOKUP(D16,'2019年1月工资表'!D22:AS36,42,FALSE)),"0",VLOOKUP(D16,'2019年1月工资表'!D22:AS36,42,FALSE))</f>
        <v>0</v>
      </c>
      <c r="AU16" s="47"/>
      <c r="AV16" s="47"/>
      <c r="AW16" s="21"/>
      <c r="AX16" s="21">
        <f t="shared" si="11"/>
        <v>0</v>
      </c>
      <c r="AY16" s="21"/>
      <c r="AZ16" s="21">
        <f t="shared" si="12"/>
        <v>0</v>
      </c>
      <c r="BA16" s="15"/>
      <c r="BE16" s="10">
        <f t="shared" si="1"/>
        <v>0</v>
      </c>
    </row>
    <row r="17" spans="1:57" s="10" customFormat="1" ht="23.25" customHeight="1">
      <c r="A17" s="15">
        <v>14</v>
      </c>
      <c r="B17" s="16" t="s">
        <v>69</v>
      </c>
      <c r="C17" s="39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2"/>
        <v>0</v>
      </c>
      <c r="T17" s="21"/>
      <c r="U17" s="21"/>
      <c r="V17" s="24">
        <f t="shared" si="5"/>
        <v>0</v>
      </c>
      <c r="W17" s="21"/>
      <c r="X17" s="21"/>
      <c r="Y17" s="21"/>
      <c r="Z17" s="21"/>
      <c r="AA17" s="21"/>
      <c r="AB17" s="21"/>
      <c r="AC17" s="21"/>
      <c r="AD17" s="21"/>
      <c r="AE17" s="21">
        <f t="shared" si="7"/>
        <v>0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f t="shared" si="9"/>
        <v>0</v>
      </c>
      <c r="AP17" s="21">
        <f t="shared" si="0"/>
        <v>0</v>
      </c>
      <c r="AQ17" s="21" t="str">
        <f>IF(ISERROR(AP17+VLOOKUP(D17,'2019年1月工资表'!D17:AQ31,40,FALSE)),"0",AP17+VLOOKUP(D17,'2019年1月工资表'!D17:AQ31,40,FALSE))</f>
        <v>0</v>
      </c>
      <c r="AR17" s="21">
        <f t="shared" si="10"/>
        <v>0</v>
      </c>
      <c r="AS17" s="24">
        <f>ROUND(MAX((AQ17-5000*3)*{0.03,0.1,0.2,0.25,0.3,0.35,0.45}-{0,2520,16920,31920,52920,85920,181920},0),2)</f>
        <v>0</v>
      </c>
      <c r="AT17" s="24" t="str">
        <f>IF(ISERROR(VLOOKUP(D17,'2019年1月工资表'!D22:AS37,42,FALSE)),"0",VLOOKUP(D17,'2019年1月工资表'!D22:AS37,42,FALSE))</f>
        <v>0</v>
      </c>
      <c r="AU17" s="47"/>
      <c r="AV17" s="47"/>
      <c r="AW17" s="21"/>
      <c r="AX17" s="21">
        <f t="shared" si="11"/>
        <v>0</v>
      </c>
      <c r="AY17" s="21"/>
      <c r="AZ17" s="21">
        <f t="shared" si="12"/>
        <v>0</v>
      </c>
      <c r="BA17" s="15"/>
      <c r="BE17" s="10">
        <f t="shared" si="1"/>
        <v>0</v>
      </c>
    </row>
    <row r="18" spans="1:57" s="10" customFormat="1" ht="23.25" customHeight="1">
      <c r="A18" s="15">
        <v>15</v>
      </c>
      <c r="B18" s="16" t="s">
        <v>70</v>
      </c>
      <c r="C18" s="39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2"/>
        <v>0</v>
      </c>
      <c r="T18" s="21"/>
      <c r="U18" s="21"/>
      <c r="V18" s="24">
        <f t="shared" si="5"/>
        <v>0</v>
      </c>
      <c r="W18" s="21"/>
      <c r="X18" s="21"/>
      <c r="Y18" s="21"/>
      <c r="Z18" s="21"/>
      <c r="AA18" s="21"/>
      <c r="AB18" s="21"/>
      <c r="AC18" s="21"/>
      <c r="AD18" s="21"/>
      <c r="AE18" s="21">
        <f t="shared" si="7"/>
        <v>0</v>
      </c>
      <c r="AF18" s="21"/>
      <c r="AG18" s="21"/>
      <c r="AH18" s="21"/>
      <c r="AI18" s="21"/>
      <c r="AJ18" s="21"/>
      <c r="AK18" s="21"/>
      <c r="AL18" s="21"/>
      <c r="AM18" s="21"/>
      <c r="AN18" s="21"/>
      <c r="AO18" s="21">
        <f t="shared" si="9"/>
        <v>0</v>
      </c>
      <c r="AP18" s="21">
        <f t="shared" si="0"/>
        <v>0</v>
      </c>
      <c r="AQ18" s="21" t="str">
        <f>IF(ISERROR(AP18+VLOOKUP(D18,'2019年1月工资表'!D18:AQ32,40,FALSE)),"0",AP18+VLOOKUP(D18,'2019年1月工资表'!D18:AQ32,40,FALSE))</f>
        <v>0</v>
      </c>
      <c r="AR18" s="21">
        <f t="shared" si="10"/>
        <v>0</v>
      </c>
      <c r="AS18" s="24">
        <f>ROUND(MAX((AQ18-5000*3)*{0.03,0.1,0.2,0.25,0.3,0.35,0.45}-{0,2520,16920,31920,52920,85920,181920},0),2)</f>
        <v>0</v>
      </c>
      <c r="AT18" s="24" t="str">
        <f>IF(ISERROR(VLOOKUP(D18,'2019年1月工资表'!D22:AS38,42,FALSE)),"0",VLOOKUP(D18,'2019年1月工资表'!D22:AS38,42,FALSE))</f>
        <v>0</v>
      </c>
      <c r="AU18" s="47"/>
      <c r="AV18" s="47"/>
      <c r="AW18" s="21"/>
      <c r="AX18" s="21">
        <f t="shared" si="11"/>
        <v>0</v>
      </c>
      <c r="AY18" s="21"/>
      <c r="AZ18" s="21">
        <f t="shared" si="12"/>
        <v>0</v>
      </c>
      <c r="BA18" s="15"/>
      <c r="BE18" s="10">
        <f t="shared" si="1"/>
        <v>0</v>
      </c>
    </row>
    <row r="19" spans="1:57" s="10" customFormat="1" ht="23.25" customHeight="1">
      <c r="A19" s="15">
        <v>16</v>
      </c>
      <c r="B19" s="16" t="s">
        <v>71</v>
      </c>
      <c r="C19" s="39"/>
      <c r="D19" s="15"/>
      <c r="E19" s="16"/>
      <c r="F19" s="15"/>
      <c r="G19" s="15"/>
      <c r="H19" s="15"/>
      <c r="I19" s="15"/>
      <c r="J19" s="15"/>
      <c r="K19" s="21"/>
      <c r="L19" s="21"/>
      <c r="M19" s="21"/>
      <c r="N19" s="21"/>
      <c r="O19" s="21"/>
      <c r="P19" s="21"/>
      <c r="Q19" s="21"/>
      <c r="R19" s="21"/>
      <c r="S19" s="21">
        <f t="shared" si="2"/>
        <v>0</v>
      </c>
      <c r="T19" s="21">
        <f>IF(ISERROR(K19/F19*H19),"",K19/F19*H19)</f>
      </c>
      <c r="U19" s="21">
        <f>IF(ISERROR(K19/F19*I19*0.4),"",K19/F19*I19*0.4)</f>
      </c>
      <c r="V19" s="24">
        <f t="shared" si="5"/>
        <v>0</v>
      </c>
      <c r="W19" s="21"/>
      <c r="X19" s="21"/>
      <c r="Y19" s="21"/>
      <c r="Z19" s="21">
        <f>SUM(W19:Y19)</f>
        <v>0</v>
      </c>
      <c r="AA19" s="21"/>
      <c r="AB19" s="21"/>
      <c r="AC19" s="21"/>
      <c r="AD19" s="21"/>
      <c r="AE19" s="21">
        <f t="shared" si="7"/>
        <v>0</v>
      </c>
      <c r="AF19" s="21"/>
      <c r="AG19" s="21"/>
      <c r="AH19" s="21"/>
      <c r="AI19" s="21">
        <f>SUM(AF19:AH19)</f>
        <v>0</v>
      </c>
      <c r="AJ19" s="21"/>
      <c r="AK19" s="21"/>
      <c r="AL19" s="21"/>
      <c r="AM19" s="21"/>
      <c r="AN19" s="21"/>
      <c r="AO19" s="21">
        <f t="shared" si="9"/>
        <v>0</v>
      </c>
      <c r="AP19" s="21">
        <f t="shared" si="0"/>
        <v>0</v>
      </c>
      <c r="AQ19" s="21" t="str">
        <f>IF(ISERROR(AP19+VLOOKUP(D19,'2019年1月工资表'!D19:AQ33,40,FALSE)),"0",AP19+VLOOKUP(D19,'2019年1月工资表'!D19:AQ33,40,FALSE))</f>
        <v>0</v>
      </c>
      <c r="AR19" s="21">
        <f t="shared" si="10"/>
        <v>0</v>
      </c>
      <c r="AS19" s="24">
        <f>ROUND(MAX((AQ19-5000*3)*{0.03,0.1,0.2,0.25,0.3,0.35,0.45}-{0,2520,16920,31920,52920,85920,181920},0),2)</f>
        <v>0</v>
      </c>
      <c r="AT19" s="24" t="str">
        <f>IF(ISERROR(VLOOKUP(D19,'2019年1月工资表'!D22:AS39,42,FALSE)),"0",VLOOKUP(D19,'2019年1月工资表'!D22:AS39,42,FALSE))</f>
        <v>0</v>
      </c>
      <c r="AU19" s="47"/>
      <c r="AV19" s="47"/>
      <c r="AW19" s="21"/>
      <c r="AX19" s="21">
        <f t="shared" si="11"/>
        <v>0</v>
      </c>
      <c r="AY19" s="21"/>
      <c r="AZ19" s="21">
        <f t="shared" si="12"/>
        <v>0</v>
      </c>
      <c r="BA19" s="15"/>
      <c r="BE19" s="10">
        <f t="shared" si="1"/>
        <v>0</v>
      </c>
    </row>
    <row r="20" spans="1:57" s="10" customFormat="1" ht="23.25" customHeight="1">
      <c r="A20" s="17" t="s">
        <v>31</v>
      </c>
      <c r="B20" s="18"/>
      <c r="C20" s="40"/>
      <c r="D20" s="19"/>
      <c r="E20" s="16"/>
      <c r="F20" s="15">
        <f aca="true" t="shared" si="13" ref="F20:AA20">SUM(F4:F19)</f>
        <v>0</v>
      </c>
      <c r="G20" s="15">
        <f t="shared" si="13"/>
        <v>0</v>
      </c>
      <c r="H20" s="15">
        <f t="shared" si="13"/>
        <v>0</v>
      </c>
      <c r="I20" s="15">
        <f t="shared" si="13"/>
        <v>0</v>
      </c>
      <c r="J20" s="15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0</v>
      </c>
      <c r="U20" s="21">
        <f t="shared" si="13"/>
        <v>0</v>
      </c>
      <c r="V20" s="21">
        <f t="shared" si="13"/>
        <v>0</v>
      </c>
      <c r="W20" s="21">
        <f t="shared" si="13"/>
        <v>0</v>
      </c>
      <c r="X20" s="21">
        <f t="shared" si="13"/>
        <v>0</v>
      </c>
      <c r="Y20" s="21">
        <f t="shared" si="13"/>
        <v>0</v>
      </c>
      <c r="Z20" s="21">
        <f t="shared" si="13"/>
        <v>0</v>
      </c>
      <c r="AA20" s="21">
        <f t="shared" si="13"/>
        <v>0</v>
      </c>
      <c r="AB20" s="21">
        <f aca="true" t="shared" si="14" ref="AB20:AZ20">SUM(AB4:AB19)</f>
        <v>0</v>
      </c>
      <c r="AC20" s="21">
        <f t="shared" si="14"/>
        <v>0</v>
      </c>
      <c r="AD20" s="21">
        <f t="shared" si="14"/>
        <v>0</v>
      </c>
      <c r="AE20" s="21">
        <f t="shared" si="14"/>
        <v>0</v>
      </c>
      <c r="AF20" s="21">
        <f t="shared" si="14"/>
        <v>0</v>
      </c>
      <c r="AG20" s="21">
        <f t="shared" si="14"/>
        <v>0</v>
      </c>
      <c r="AH20" s="21">
        <f t="shared" si="14"/>
        <v>0</v>
      </c>
      <c r="AI20" s="21">
        <f t="shared" si="14"/>
        <v>0</v>
      </c>
      <c r="AJ20" s="21">
        <f t="shared" si="14"/>
        <v>0</v>
      </c>
      <c r="AK20" s="21">
        <f t="shared" si="14"/>
        <v>0</v>
      </c>
      <c r="AL20" s="21">
        <f t="shared" si="14"/>
        <v>0</v>
      </c>
      <c r="AM20" s="21">
        <f t="shared" si="14"/>
        <v>0</v>
      </c>
      <c r="AN20" s="21">
        <f t="shared" si="14"/>
        <v>0</v>
      </c>
      <c r="AO20" s="21">
        <f t="shared" si="14"/>
        <v>0</v>
      </c>
      <c r="AP20" s="21">
        <f t="shared" si="14"/>
        <v>0</v>
      </c>
      <c r="AQ20" s="21">
        <f t="shared" si="14"/>
        <v>0</v>
      </c>
      <c r="AR20" s="21">
        <f t="shared" si="14"/>
        <v>0</v>
      </c>
      <c r="AS20" s="21">
        <f t="shared" si="14"/>
        <v>0</v>
      </c>
      <c r="AT20" s="21">
        <f t="shared" si="14"/>
        <v>0</v>
      </c>
      <c r="AU20" s="21">
        <f t="shared" si="14"/>
        <v>0</v>
      </c>
      <c r="AV20" s="21">
        <f t="shared" si="14"/>
        <v>0</v>
      </c>
      <c r="AW20" s="21">
        <f t="shared" si="14"/>
        <v>0</v>
      </c>
      <c r="AX20" s="21">
        <f t="shared" si="14"/>
        <v>0</v>
      </c>
      <c r="AY20" s="21"/>
      <c r="AZ20" s="21">
        <f>SUM(AZ4:AZ19)</f>
        <v>0</v>
      </c>
      <c r="BA20" s="21"/>
      <c r="BE20" s="48">
        <f t="shared" si="1"/>
        <v>0</v>
      </c>
    </row>
    <row r="21" spans="1:53" s="9" customFormat="1" ht="39.75" customHeight="1">
      <c r="A21" s="41" t="s">
        <v>84</v>
      </c>
      <c r="B21" s="41"/>
      <c r="C21" s="42"/>
      <c r="D21" s="41"/>
      <c r="E21" s="41"/>
      <c r="F21" s="41"/>
      <c r="G21" s="41"/>
      <c r="H21" s="41"/>
      <c r="I21" s="41"/>
      <c r="J21" s="41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1"/>
    </row>
    <row r="22" spans="3:52" s="9" customFormat="1" ht="15">
      <c r="C22" s="4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</sheetData>
  <sheetProtection/>
  <mergeCells count="25">
    <mergeCell ref="A1:BA1"/>
    <mergeCell ref="K2:S2"/>
    <mergeCell ref="T2:V2"/>
    <mergeCell ref="W2:Z2"/>
    <mergeCell ref="AA2:AE2"/>
    <mergeCell ref="AF2:AI2"/>
    <mergeCell ref="AJ2:AO2"/>
    <mergeCell ref="AP2:AQ2"/>
    <mergeCell ref="AR2:AT2"/>
    <mergeCell ref="A20:D20"/>
    <mergeCell ref="A21:BA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X2:AX3"/>
    <mergeCell ref="AY2:AY3"/>
    <mergeCell ref="AZ2:AZ3"/>
    <mergeCell ref="BA2:BA3"/>
  </mergeCells>
  <printOptions/>
  <pageMargins left="0.75" right="0.75" top="1" bottom="1" header="0.51" footer="0.51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V21"/>
  <sheetViews>
    <sheetView workbookViewId="0" topLeftCell="A1">
      <pane xSplit="4" ySplit="3" topLeftCell="AA4" activePane="bottomRight" state="frozen"/>
      <selection pane="bottomRight" activeCell="AA4" sqref="AA4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30" width="7.00390625" style="26" customWidth="1"/>
    <col min="31" max="31" width="8.421875" style="26" customWidth="1"/>
    <col min="32" max="34" width="7.00390625" style="26" customWidth="1"/>
    <col min="35" max="35" width="6.421875" style="26" customWidth="1"/>
    <col min="36" max="38" width="7.00390625" style="26" customWidth="1"/>
    <col min="39" max="39" width="6.421875" style="26" customWidth="1"/>
    <col min="40" max="40" width="7.00390625" style="26" customWidth="1"/>
    <col min="41" max="41" width="6.421875" style="26" customWidth="1"/>
    <col min="42" max="43" width="10.421875" style="26" customWidth="1"/>
    <col min="44" max="46" width="8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16384" width="9.00390625" style="8" customWidth="1"/>
  </cols>
  <sheetData>
    <row r="1" spans="1:50" s="8" customFormat="1" ht="39.75" customHeight="1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/>
      <c r="D4" s="15"/>
      <c r="E4" s="16"/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 t="str">
        <f>IF(ISERROR(AP4+VLOOKUP(D4,'2019年2月工资表'!D4:AQ19,40,FALSE)),"0",AP4+VLOOKUP(D4,'2019年2月工资表'!D4:AQ19,40,FALSE))</f>
        <v>0</v>
      </c>
      <c r="AR4" s="21">
        <f>IF(AS4-AT4&lt;0,0,AS4-AT4)</f>
        <v>0</v>
      </c>
      <c r="AS4" s="24">
        <f>ROUND(MAX((AQ4-5000*4)*{0.03,0.1,0.2,0.25,0.3,0.35,0.45}-{0,2520,16920,31920,52920,85920,181920},0),2)</f>
        <v>0</v>
      </c>
      <c r="AT4" s="24" t="str">
        <f>IF(ISERROR(VLOOKUP(D4,'2019年2月工资表'!D4:AS19,42,FALSE)),"0",VLOOKUP(D4,'2019年2月工资表'!D4:AS19,42,FALSE))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IF(ISERROR(AP5+VLOOKUP(D5,'2019年2月工资表'!D5:AQ20,40,FALSE)),"0",AP5+VLOOKUP(D5,'2019年2月工资表'!D5:AQ20,40,FALSE))</f>
        <v>0</v>
      </c>
      <c r="AR5" s="21">
        <f aca="true" t="shared" si="11" ref="AR5:AR18">IF(AS5-AT5&lt;0,0,AS5-AT5)</f>
        <v>0</v>
      </c>
      <c r="AS5" s="24">
        <f>ROUND(MAX((AQ5-5000*4)*{0.03,0.1,0.2,0.25,0.3,0.35,0.45}-{0,2520,16920,31920,52920,85920,181920},0),2)</f>
        <v>0</v>
      </c>
      <c r="AT5" s="24" t="str">
        <f>IF(ISERROR(VLOOKUP(D5,'2019年2月工资表'!D5:AS20,42,FALSE)),"0",VLOOKUP(D5,'2019年2月工资表'!D5:AS20,42,FALSE))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IF(ISERROR(AP6+VLOOKUP(D6,'2019年2月工资表'!D5:AQ21,40,FALSE)),"0",AP6+VLOOKUP(D6,'2019年2月工资表'!D5:AQ21,40,FALSE))</f>
        <v>0</v>
      </c>
      <c r="AR6" s="21">
        <f t="shared" si="11"/>
        <v>0</v>
      </c>
      <c r="AS6" s="24">
        <f>ROUND(MAX((AQ6-5000*4)*{0.03,0.1,0.2,0.25,0.3,0.35,0.45}-{0,2520,16920,31920,52920,85920,181920},0),2)</f>
        <v>0</v>
      </c>
      <c r="AT6" s="24" t="str">
        <f>IF(ISERROR(VLOOKUP(D6,'2019年2月工资表'!D5:AS21,42,FALSE)),"0",VLOOKUP(D6,'2019年2月工资表'!D5:AS21,42,FALSE))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IF(ISERROR(AP7+VLOOKUP(D7,'2019年2月工资表'!D6:AQ22,40,FALSE)),"0",AP7+VLOOKUP(D7,'2019年2月工资表'!D6:AQ22,40,FALSE))</f>
        <v>0</v>
      </c>
      <c r="AR7" s="21">
        <f t="shared" si="11"/>
        <v>0</v>
      </c>
      <c r="AS7" s="24">
        <f>ROUND(MAX((AQ7-5000*4)*{0.03,0.1,0.2,0.25,0.3,0.35,0.45}-{0,2520,16920,31920,52920,85920,181920},0),2)</f>
        <v>0</v>
      </c>
      <c r="AT7" s="24" t="str">
        <f>IF(ISERROR(VLOOKUP(D7,'2019年2月工资表'!D6:AS22,42,FALSE)),"0",VLOOKUP(D7,'2019年2月工资表'!D6:AS22,42,FALSE))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IF(ISERROR(AP8+VLOOKUP(D8,'2019年2月工资表'!D6:AQ23,40,FALSE)),"0",AP8+VLOOKUP(D8,'2019年2月工资表'!D6:AQ23,40,FALSE))</f>
        <v>0</v>
      </c>
      <c r="AR8" s="21">
        <f t="shared" si="11"/>
        <v>0</v>
      </c>
      <c r="AS8" s="24">
        <f>ROUND(MAX((AQ8-5000*4)*{0.03,0.1,0.2,0.25,0.3,0.35,0.45}-{0,2520,16920,31920,52920,85920,181920},0),2)</f>
        <v>0</v>
      </c>
      <c r="AT8" s="24" t="str">
        <f>IF(ISERROR(VLOOKUP(D8,'2019年2月工资表'!D6:AS23,42,FALSE)),"0",VLOOKUP(D8,'2019年2月工资表'!D6:AS23,42,FALSE))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IF(ISERROR(AP9+VLOOKUP(D9,'2019年2月工资表'!D7:AQ24,40,FALSE)),"0",AP9+VLOOKUP(D9,'2019年2月工资表'!D7:AQ24,40,FALSE))</f>
        <v>0</v>
      </c>
      <c r="AR9" s="21">
        <f t="shared" si="11"/>
        <v>0</v>
      </c>
      <c r="AS9" s="24">
        <f>ROUND(MAX((AQ9-5000*4)*{0.03,0.1,0.2,0.25,0.3,0.35,0.45}-{0,2520,16920,31920,52920,85920,181920},0),2)</f>
        <v>0</v>
      </c>
      <c r="AT9" s="24" t="str">
        <f>IF(ISERROR(VLOOKUP(D9,'2019年2月工资表'!D7:AS24,42,FALSE)),"0",VLOOKUP(D9,'2019年2月工资表'!D7:AS24,42,FALSE))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IF(ISERROR(AP10+VLOOKUP(D10,'2019年2月工资表'!D8:AQ25,40,FALSE)),"0",AP10+VLOOKUP(D10,'2019年2月工资表'!D8:AQ25,40,FALSE))</f>
        <v>0</v>
      </c>
      <c r="AR10" s="21">
        <f t="shared" si="11"/>
        <v>0</v>
      </c>
      <c r="AS10" s="24">
        <f>ROUND(MAX((AQ10-5000*4)*{0.03,0.1,0.2,0.25,0.3,0.35,0.45}-{0,2520,16920,31920,52920,85920,181920},0),2)</f>
        <v>0</v>
      </c>
      <c r="AT10" s="24" t="str">
        <f>IF(ISERROR(VLOOKUP(D10,'2019年2月工资表'!D8:AS25,42,FALSE)),"0",VLOOKUP(D10,'2019年2月工资表'!D8:AS25,42,FALSE))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IF(ISERROR(AP11+VLOOKUP(D11,'2019年2月工资表'!D9:AQ26,40,FALSE)),"0",AP11+VLOOKUP(D11,'2019年2月工资表'!D9:AQ26,40,FALSE))</f>
        <v>0</v>
      </c>
      <c r="AR11" s="21">
        <f t="shared" si="11"/>
        <v>0</v>
      </c>
      <c r="AS11" s="24">
        <f>ROUND(MAX((AQ11-5000*4)*{0.03,0.1,0.2,0.25,0.3,0.35,0.45}-{0,2520,16920,31920,52920,85920,181920},0),2)</f>
        <v>0</v>
      </c>
      <c r="AT11" s="24" t="str">
        <f>IF(ISERROR(VLOOKUP(D11,'2019年2月工资表'!D9:AS26,42,FALSE)),"0",VLOOKUP(D11,'2019年2月工资表'!D9:AS26,42,FALSE))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IF(ISERROR(AP12+VLOOKUP(D12,'2019年2月工资表'!D10:AQ27,40,FALSE)),"0",AP12+VLOOKUP(D12,'2019年2月工资表'!D10:AQ27,40,FALSE))</f>
        <v>0</v>
      </c>
      <c r="AR12" s="21">
        <f t="shared" si="11"/>
        <v>0</v>
      </c>
      <c r="AS12" s="24">
        <f>ROUND(MAX((AQ12-5000*4)*{0.03,0.1,0.2,0.25,0.3,0.35,0.45}-{0,2520,16920,31920,52920,85920,181920},0),2)</f>
        <v>0</v>
      </c>
      <c r="AT12" s="24" t="str">
        <f>IF(ISERROR(VLOOKUP(D12,'2019年2月工资表'!D10:AS27,42,FALSE)),"0",VLOOKUP(D12,'2019年2月工资表'!D10:AS27,42,FALSE))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IF(ISERROR(AP13+VLOOKUP(D13,'2019年2月工资表'!D11:AQ28,40,FALSE)),"0",AP13+VLOOKUP(D13,'2019年2月工资表'!D11:AQ28,40,FALSE))</f>
        <v>0</v>
      </c>
      <c r="AR13" s="21">
        <f t="shared" si="11"/>
        <v>0</v>
      </c>
      <c r="AS13" s="24">
        <f>ROUND(MAX((AQ13-5000*4)*{0.03,0.1,0.2,0.25,0.3,0.35,0.45}-{0,2520,16920,31920,52920,85920,181920},0),2)</f>
        <v>0</v>
      </c>
      <c r="AT13" s="24" t="str">
        <f>IF(ISERROR(VLOOKUP(D13,'2019年2月工资表'!D11:AS28,42,FALSE)),"0",VLOOKUP(D13,'2019年2月工资表'!D11:AS28,42,FALSE))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IF(ISERROR(AP14+VLOOKUP(D14,'2019年2月工资表'!D12:AQ29,40,FALSE)),"0",AP14+VLOOKUP(D14,'2019年2月工资表'!D12:AQ29,40,FALSE))</f>
        <v>0</v>
      </c>
      <c r="AR14" s="21">
        <f t="shared" si="11"/>
        <v>0</v>
      </c>
      <c r="AS14" s="24">
        <f>ROUND(MAX((AQ14-5000*4)*{0.03,0.1,0.2,0.25,0.3,0.35,0.45}-{0,2520,16920,31920,52920,85920,181920},0),2)</f>
        <v>0</v>
      </c>
      <c r="AT14" s="24" t="str">
        <f>IF(ISERROR(VLOOKUP(D14,'2019年2月工资表'!D12:AS29,42,FALSE)),"0",VLOOKUP(D14,'2019年2月工资表'!D12:AS29,42,FALSE))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IF(ISERROR(AP15+VLOOKUP(D15,'2019年2月工资表'!D13:AQ30,40,FALSE)),"0",AP15+VLOOKUP(D15,'2019年2月工资表'!D13:AQ30,40,FALSE))</f>
        <v>0</v>
      </c>
      <c r="AR15" s="21">
        <f t="shared" si="11"/>
        <v>0</v>
      </c>
      <c r="AS15" s="24">
        <f>ROUND(MAX((AQ15-5000*4)*{0.03,0.1,0.2,0.25,0.3,0.35,0.45}-{0,2520,16920,31920,52920,85920,181920},0),2)</f>
        <v>0</v>
      </c>
      <c r="AT15" s="24" t="str">
        <f>IF(ISERROR(VLOOKUP(D15,'2019年2月工资表'!D13:AS30,42,FALSE)),"0",VLOOKUP(D15,'2019年2月工资表'!D13:AS30,42,FALSE))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IF(ISERROR(AP16+VLOOKUP(D16,'2019年2月工资表'!D14:AQ31,40,FALSE)),"0",AP16+VLOOKUP(D16,'2019年2月工资表'!D14:AQ31,40,FALSE))</f>
        <v>0</v>
      </c>
      <c r="AR16" s="21">
        <f t="shared" si="11"/>
        <v>0</v>
      </c>
      <c r="AS16" s="24">
        <f>ROUND(MAX((AQ16-5000*4)*{0.03,0.1,0.2,0.25,0.3,0.35,0.45}-{0,2520,16920,31920,52920,85920,181920},0),2)</f>
        <v>0</v>
      </c>
      <c r="AT16" s="24" t="str">
        <f>IF(ISERROR(VLOOKUP(D16,'2019年2月工资表'!D14:AS31,42,FALSE)),"0",VLOOKUP(D16,'2019年2月工资表'!D14:AS31,42,FALSE))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IF(ISERROR(AP17+VLOOKUP(D17,'2019年2月工资表'!D14:AQ32,40,FALSE)),"0",AP17+VLOOKUP(D17,'2019年2月工资表'!D14:AQ32,40,FALSE))</f>
        <v>0</v>
      </c>
      <c r="AR17" s="21">
        <f t="shared" si="11"/>
        <v>0</v>
      </c>
      <c r="AS17" s="24">
        <f>ROUND(MAX((AQ17-5000*4)*{0.03,0.1,0.2,0.25,0.3,0.35,0.45}-{0,2520,16920,31920,52920,85920,181920},0),2)</f>
        <v>0</v>
      </c>
      <c r="AT17" s="24" t="str">
        <f>IF(ISERROR(VLOOKUP(D17,'2019年2月工资表'!D14:AS32,42,FALSE)),"0",VLOOKUP(D17,'2019年2月工资表'!D14:AS32,42,FALSE))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IF(ISERROR(AP18+VLOOKUP(D18,'2019年2月工资表'!D19:AQ33,40,FALSE)),"0",AP18+VLOOKUP(D18,'2019年2月工资表'!D19:AQ33,40,FALSE))</f>
        <v>0</v>
      </c>
      <c r="AR18" s="21">
        <f t="shared" si="11"/>
        <v>0</v>
      </c>
      <c r="AS18" s="24">
        <f>ROUND(MAX((AQ18-5000*4)*{0.03,0.1,0.2,0.25,0.3,0.35,0.45}-{0,2520,16920,31920,52920,85920,181920},0),2)</f>
        <v>0</v>
      </c>
      <c r="AT18" s="24" t="str">
        <f>IF(ISERROR(VLOOKUP(D18,'2019年2月工资表'!D19:AS33,42,FALSE)),"0",VLOOKUP(D18,'2019年2月工资表'!D19:AS33,42,FALSE))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V21"/>
  <sheetViews>
    <sheetView workbookViewId="0" topLeftCell="A1">
      <pane xSplit="4" ySplit="3" topLeftCell="E4" activePane="bottomRight" state="frozen"/>
      <selection pane="bottomRight" activeCell="A1" sqref="A1:AX1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3" width="10.421875" style="26" customWidth="1"/>
    <col min="44" max="44" width="9.140625" style="26" customWidth="1"/>
    <col min="45" max="45" width="9.421875" style="26" customWidth="1"/>
    <col min="46" max="46" width="8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16384" width="9.00390625" style="8" customWidth="1"/>
  </cols>
  <sheetData>
    <row r="1" spans="1:50" s="8" customFormat="1" ht="39.75" customHeight="1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 t="str">
        <f>IF(ISERROR(AP4+VLOOKUP(D4,'2019年3月工资表'!D4:AQ18,40,FALSE)),"0",AP4+VLOOKUP(D4,'2019年3月工资表'!D4:AQ18,40,FALSE))</f>
        <v>0</v>
      </c>
      <c r="AR4" s="21">
        <f>IF(AS4-AT4&lt;0,0,AS4-AT4)</f>
        <v>0</v>
      </c>
      <c r="AS4" s="24">
        <f>ROUND(MAX((AQ4-5000*5)*{0.03,0.1,0.2,0.25,0.3,0.35,0.45}-{0,2520,16920,31920,52920,85920,181920},0),2)</f>
        <v>0</v>
      </c>
      <c r="AT4" s="24" t="str">
        <f>IF(ISERROR(VLOOKUP(D4,'2019年3月工资表'!D4:AS18,42,FALSE)),"0",VLOOKUP(D4,'2019年3月工资表'!D4:AS18,42,FALSE))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IF(ISERROR(AP5+VLOOKUP(D5,'2019年3月工资表'!D5:AQ19,40,FALSE)),"0",AP5+VLOOKUP(D5,'2019年3月工资表'!D5:AQ19,40,FALSE))</f>
        <v>0</v>
      </c>
      <c r="AR5" s="21">
        <f aca="true" t="shared" si="11" ref="AR5:AR18">IF(AS5-AT5&lt;0,0,AS5-AT5)</f>
        <v>0</v>
      </c>
      <c r="AS5" s="24">
        <f>ROUND(MAX((AQ5-5000*5)*{0.03,0.1,0.2,0.25,0.3,0.35,0.45}-{0,2520,16920,31920,52920,85920,181920},0),2)</f>
        <v>0</v>
      </c>
      <c r="AT5" s="24" t="str">
        <f>IF(ISERROR(VLOOKUP(D5,'2019年3月工资表'!D5:AS19,42,FALSE)),"0",VLOOKUP(D5,'2019年3月工资表'!D5:AS19,42,FALSE))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IF(ISERROR(AP6+VLOOKUP(D6,'2019年3月工资表'!D6:AQ20,40,FALSE)),"0",AP6+VLOOKUP(D6,'2019年3月工资表'!D6:AQ20,40,FALSE))</f>
        <v>0</v>
      </c>
      <c r="AR6" s="21">
        <f t="shared" si="11"/>
        <v>0</v>
      </c>
      <c r="AS6" s="24">
        <f>ROUND(MAX((AQ6-5000*5)*{0.03,0.1,0.2,0.25,0.3,0.35,0.45}-{0,2520,16920,31920,52920,85920,181920},0),2)</f>
        <v>0</v>
      </c>
      <c r="AT6" s="24" t="str">
        <f>IF(ISERROR(VLOOKUP(D6,'2019年3月工资表'!D6:AS20,42,FALSE)),"0",VLOOKUP(D6,'2019年3月工资表'!D6:AS20,42,FALSE))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IF(ISERROR(AP7+VLOOKUP(D7,'2019年3月工资表'!D7:AQ21,40,FALSE)),"0",AP7+VLOOKUP(D7,'2019年3月工资表'!D7:AQ21,40,FALSE))</f>
        <v>0</v>
      </c>
      <c r="AR7" s="21">
        <f t="shared" si="11"/>
        <v>0</v>
      </c>
      <c r="AS7" s="24">
        <f>ROUND(MAX((AQ7-5000*5)*{0.03,0.1,0.2,0.25,0.3,0.35,0.45}-{0,2520,16920,31920,52920,85920,181920},0),2)</f>
        <v>0</v>
      </c>
      <c r="AT7" s="24" t="str">
        <f>IF(ISERROR(VLOOKUP(D7,'2019年3月工资表'!D7:AS21,42,FALSE)),"0",VLOOKUP(D7,'2019年3月工资表'!D7:AS21,42,FALSE))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IF(ISERROR(AP8+VLOOKUP(D8,'2019年3月工资表'!D8:AQ22,40,FALSE)),"0",AP8+VLOOKUP(D8,'2019年3月工资表'!D8:AQ22,40,FALSE))</f>
        <v>0</v>
      </c>
      <c r="AR8" s="21">
        <f t="shared" si="11"/>
        <v>0</v>
      </c>
      <c r="AS8" s="24">
        <f>ROUND(MAX((AQ8-5000*5)*{0.03,0.1,0.2,0.25,0.3,0.35,0.45}-{0,2520,16920,31920,52920,85920,181920},0),2)</f>
        <v>0</v>
      </c>
      <c r="AT8" s="24" t="str">
        <f>IF(ISERROR(VLOOKUP(D8,'2019年3月工资表'!D8:AS22,42,FALSE)),"0",VLOOKUP(D8,'2019年3月工资表'!D8:AS22,42,FALSE))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IF(ISERROR(AP9+VLOOKUP(D9,'2019年3月工资表'!D9:AQ23,40,FALSE)),"0",AP9+VLOOKUP(D9,'2019年3月工资表'!D9:AQ23,40,FALSE))</f>
        <v>0</v>
      </c>
      <c r="AR9" s="21">
        <f t="shared" si="11"/>
        <v>0</v>
      </c>
      <c r="AS9" s="24">
        <f>ROUND(MAX((AQ9-5000*5)*{0.03,0.1,0.2,0.25,0.3,0.35,0.45}-{0,2520,16920,31920,52920,85920,181920},0),2)</f>
        <v>0</v>
      </c>
      <c r="AT9" s="24" t="str">
        <f>IF(ISERROR(VLOOKUP(D9,'2019年3月工资表'!D9:AS23,42,FALSE)),"0",VLOOKUP(D9,'2019年3月工资表'!D9:AS23,42,FALSE))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IF(ISERROR(AP10+VLOOKUP(D10,'2019年3月工资表'!D10:AQ24,40,FALSE)),"0",AP10+VLOOKUP(D10,'2019年3月工资表'!D10:AQ24,40,FALSE))</f>
        <v>0</v>
      </c>
      <c r="AR10" s="21">
        <f t="shared" si="11"/>
        <v>0</v>
      </c>
      <c r="AS10" s="24">
        <f>ROUND(MAX((AQ10-5000*5)*{0.03,0.1,0.2,0.25,0.3,0.35,0.45}-{0,2520,16920,31920,52920,85920,181920},0),2)</f>
        <v>0</v>
      </c>
      <c r="AT10" s="24" t="str">
        <f>IF(ISERROR(VLOOKUP(D10,'2019年3月工资表'!D10:AS24,42,FALSE)),"0",VLOOKUP(D10,'2019年3月工资表'!D10:AS24,42,FALSE))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IF(ISERROR(AP11+VLOOKUP(D11,'2019年3月工资表'!D11:AQ25,40,FALSE)),"0",AP11+VLOOKUP(D11,'2019年3月工资表'!D11:AQ25,40,FALSE))</f>
        <v>0</v>
      </c>
      <c r="AR11" s="21">
        <f t="shared" si="11"/>
        <v>0</v>
      </c>
      <c r="AS11" s="24">
        <f>ROUND(MAX((AQ11-5000*5)*{0.03,0.1,0.2,0.25,0.3,0.35,0.45}-{0,2520,16920,31920,52920,85920,181920},0),2)</f>
        <v>0</v>
      </c>
      <c r="AT11" s="24" t="str">
        <f>IF(ISERROR(VLOOKUP(D11,'2019年3月工资表'!D11:AS25,42,FALSE)),"0",VLOOKUP(D11,'2019年3月工资表'!D11:AS25,42,FALSE))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IF(ISERROR(AP12+VLOOKUP(D12,'2019年3月工资表'!D12:AQ26,40,FALSE)),"0",AP12+VLOOKUP(D12,'2019年3月工资表'!D12:AQ26,40,FALSE))</f>
        <v>0</v>
      </c>
      <c r="AR12" s="21">
        <f t="shared" si="11"/>
        <v>0</v>
      </c>
      <c r="AS12" s="24">
        <f>ROUND(MAX((AQ12-5000*5)*{0.03,0.1,0.2,0.25,0.3,0.35,0.45}-{0,2520,16920,31920,52920,85920,181920},0),2)</f>
        <v>0</v>
      </c>
      <c r="AT12" s="24" t="str">
        <f>IF(ISERROR(VLOOKUP(D12,'2019年3月工资表'!D12:AS26,42,FALSE)),"0",VLOOKUP(D12,'2019年3月工资表'!D12:AS26,42,FALSE))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IF(ISERROR(AP13+VLOOKUP(D13,'2019年3月工资表'!D13:AQ27,40,FALSE)),"0",AP13+VLOOKUP(D13,'2019年3月工资表'!D13:AQ27,40,FALSE))</f>
        <v>0</v>
      </c>
      <c r="AR13" s="21">
        <f t="shared" si="11"/>
        <v>0</v>
      </c>
      <c r="AS13" s="24">
        <f>ROUND(MAX((AQ13-5000*5)*{0.03,0.1,0.2,0.25,0.3,0.35,0.45}-{0,2520,16920,31920,52920,85920,181920},0),2)</f>
        <v>0</v>
      </c>
      <c r="AT13" s="24" t="str">
        <f>IF(ISERROR(VLOOKUP(D13,'2019年3月工资表'!D13:AS27,42,FALSE)),"0",VLOOKUP(D13,'2019年3月工资表'!D13:AS27,42,FALSE))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IF(ISERROR(AP14+VLOOKUP(D14,'2019年3月工资表'!D14:AQ28,40,FALSE)),"0",AP14+VLOOKUP(D14,'2019年3月工资表'!D14:AQ28,40,FALSE))</f>
        <v>0</v>
      </c>
      <c r="AR14" s="21">
        <f t="shared" si="11"/>
        <v>0</v>
      </c>
      <c r="AS14" s="24">
        <f>ROUND(MAX((AQ14-5000*5)*{0.03,0.1,0.2,0.25,0.3,0.35,0.45}-{0,2520,16920,31920,52920,85920,181920},0),2)</f>
        <v>0</v>
      </c>
      <c r="AT14" s="24" t="str">
        <f>IF(ISERROR(VLOOKUP(D14,'2019年3月工资表'!D14:AS28,42,FALSE)),"0",VLOOKUP(D14,'2019年3月工资表'!D14:AS28,42,FALSE))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IF(ISERROR(AP15+VLOOKUP(D15,'2019年3月工资表'!D15:AQ29,40,FALSE)),"0",AP15+VLOOKUP(D15,'2019年3月工资表'!D15:AQ29,40,FALSE))</f>
        <v>0</v>
      </c>
      <c r="AR15" s="21">
        <f t="shared" si="11"/>
        <v>0</v>
      </c>
      <c r="AS15" s="24">
        <f>ROUND(MAX((AQ15-5000*5)*{0.03,0.1,0.2,0.25,0.3,0.35,0.45}-{0,2520,16920,31920,52920,85920,181920},0),2)</f>
        <v>0</v>
      </c>
      <c r="AT15" s="24" t="str">
        <f>IF(ISERROR(VLOOKUP(D15,'2019年3月工资表'!D15:AS29,42,FALSE)),"0",VLOOKUP(D15,'2019年3月工资表'!D15:AS29,42,FALSE))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IF(ISERROR(AP16+VLOOKUP(D16,'2019年3月工资表'!D16:AQ30,40,FALSE)),"0",AP16+VLOOKUP(D16,'2019年3月工资表'!D16:AQ30,40,FALSE))</f>
        <v>0</v>
      </c>
      <c r="AR16" s="21">
        <f t="shared" si="11"/>
        <v>0</v>
      </c>
      <c r="AS16" s="24">
        <f>ROUND(MAX((AQ16-5000*5)*{0.03,0.1,0.2,0.25,0.3,0.35,0.45}-{0,2520,16920,31920,52920,85920,181920},0),2)</f>
        <v>0</v>
      </c>
      <c r="AT16" s="24" t="str">
        <f>IF(ISERROR(VLOOKUP(D16,'2019年3月工资表'!D16:AS30,42,FALSE)),"0",VLOOKUP(D16,'2019年3月工资表'!D16:AS30,42,FALSE))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IF(ISERROR(AP17+VLOOKUP(D17,'2019年3月工资表'!D17:AQ31,40,FALSE)),"0",AP17+VLOOKUP(D17,'2019年3月工资表'!D17:AQ31,40,FALSE))</f>
        <v>0</v>
      </c>
      <c r="AR17" s="21">
        <f t="shared" si="11"/>
        <v>0</v>
      </c>
      <c r="AS17" s="24">
        <f>ROUND(MAX((AQ17-5000*5)*{0.03,0.1,0.2,0.25,0.3,0.35,0.45}-{0,2520,16920,31920,52920,85920,181920},0),2)</f>
        <v>0</v>
      </c>
      <c r="AT17" s="24" t="str">
        <f>IF(ISERROR(VLOOKUP(D17,'2019年3月工资表'!D17:AS31,42,FALSE)),"0",VLOOKUP(D17,'2019年3月工资表'!D17:AS31,42,FALSE))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IF(ISERROR(AP18+VLOOKUP(D18,'2019年3月工资表'!D18:AQ32,40,FALSE)),"0",AP18+VLOOKUP(D18,'2019年3月工资表'!D18:AQ32,40,FALSE))</f>
        <v>0</v>
      </c>
      <c r="AR18" s="21">
        <f t="shared" si="11"/>
        <v>0</v>
      </c>
      <c r="AS18" s="24">
        <f>ROUND(MAX((AQ18-5000*5)*{0.03,0.1,0.2,0.25,0.3,0.35,0.45}-{0,2520,16920,31920,52920,85920,181920},0),2)</f>
        <v>0</v>
      </c>
      <c r="AT18" s="24" t="str">
        <f>IF(ISERROR(VLOOKUP(D18,'2019年3月工资表'!D18:AS32,42,FALSE)),"0",VLOOKUP(D18,'2019年3月工资表'!D18:AS32,42,FALSE))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V21"/>
  <sheetViews>
    <sheetView workbookViewId="0" topLeftCell="A1">
      <pane xSplit="4" ySplit="3" topLeftCell="E4" activePane="bottomRight" state="frozen"/>
      <selection pane="bottomRight" activeCell="W9" sqref="W9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3" width="10.421875" style="26" customWidth="1"/>
    <col min="44" max="44" width="9.140625" style="26" customWidth="1"/>
    <col min="45" max="46" width="9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16384" width="9.00390625" style="8" customWidth="1"/>
  </cols>
  <sheetData>
    <row r="1" spans="1:50" s="8" customFormat="1" ht="39.75" customHeight="1">
      <c r="A1" s="11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IF(ISERROR(AP4+VLOOKUP(D4,'2019年4月工资表'!D4:AQ18,40,FALSE)),"0",AP4+VLOOKUP(D4,'2019年4月工资表'!D4:AQ18,40,FALSE))</f>
        <v>0</v>
      </c>
      <c r="AR4" s="21">
        <f>IF(AS4-AT4&lt;0,0,AS4-AT4)</f>
        <v>0</v>
      </c>
      <c r="AS4" s="24">
        <f>ROUND(MAX((AQ4-5000*6)*{0.03,0.1,0.2,0.25,0.3,0.35,0.45}-{0,2520,16920,31920,52920,85920,181920},0),2)</f>
        <v>0</v>
      </c>
      <c r="AT4" s="24">
        <f>IF(ISERROR(VLOOKUP(D4,'2019年4月工资表'!D4:AS18,42,FALSE)),"0",VLOOKUP(D4,'2019年4月工资表'!D4:AS18,42,FALSE))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IF(ISERROR(AP5+VLOOKUP(D5,'2019年4月工资表'!D5:AQ19,40,FALSE)),"0",AP5+VLOOKUP(D5,'2019年4月工资表'!D5:AQ19,40,FALSE))</f>
        <v>0</v>
      </c>
      <c r="AR5" s="21">
        <f aca="true" t="shared" si="11" ref="AR5:AR18">IF(AS5-AT5&lt;0,0,AS5-AT5)</f>
        <v>0</v>
      </c>
      <c r="AS5" s="24">
        <f>ROUND(MAX((AQ5-5000*6)*{0.03,0.1,0.2,0.25,0.3,0.35,0.45}-{0,2520,16920,31920,52920,85920,181920},0),2)</f>
        <v>0</v>
      </c>
      <c r="AT5" s="24" t="str">
        <f>IF(ISERROR(VLOOKUP(D5,'2019年4月工资表'!D5:AS19,42,FALSE)),"0",VLOOKUP(D5,'2019年4月工资表'!D5:AS19,42,FALSE))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IF(ISERROR(AP6+VLOOKUP(D6,'2019年4月工资表'!D6:AQ20,40,FALSE)),"0",AP6+VLOOKUP(D6,'2019年4月工资表'!D6:AQ20,40,FALSE))</f>
        <v>0</v>
      </c>
      <c r="AR6" s="21">
        <f t="shared" si="11"/>
        <v>0</v>
      </c>
      <c r="AS6" s="24">
        <f>ROUND(MAX((AQ6-5000*6)*{0.03,0.1,0.2,0.25,0.3,0.35,0.45}-{0,2520,16920,31920,52920,85920,181920},0),2)</f>
        <v>0</v>
      </c>
      <c r="AT6" s="24" t="str">
        <f>IF(ISERROR(VLOOKUP(D6,'2019年4月工资表'!D6:AS20,42,FALSE)),"0",VLOOKUP(D6,'2019年4月工资表'!D6:AS20,42,FALSE))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IF(ISERROR(AP7+VLOOKUP(D7,'2019年4月工资表'!D7:AQ21,40,FALSE)),"0",AP7+VLOOKUP(D7,'2019年4月工资表'!D7:AQ21,40,FALSE))</f>
        <v>0</v>
      </c>
      <c r="AR7" s="21">
        <f t="shared" si="11"/>
        <v>0</v>
      </c>
      <c r="AS7" s="24">
        <f>ROUND(MAX((AQ7-5000*6)*{0.03,0.1,0.2,0.25,0.3,0.35,0.45}-{0,2520,16920,31920,52920,85920,181920},0),2)</f>
        <v>0</v>
      </c>
      <c r="AT7" s="24" t="str">
        <f>IF(ISERROR(VLOOKUP(D7,'2019年4月工资表'!D7:AS21,42,FALSE)),"0",VLOOKUP(D7,'2019年4月工资表'!D7:AS21,42,FALSE))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IF(ISERROR(AP8+VLOOKUP(D8,'2019年4月工资表'!D8:AQ22,40,FALSE)),"0",AP8+VLOOKUP(D8,'2019年4月工资表'!D8:AQ22,40,FALSE))</f>
        <v>0</v>
      </c>
      <c r="AR8" s="21">
        <f t="shared" si="11"/>
        <v>0</v>
      </c>
      <c r="AS8" s="24">
        <f>ROUND(MAX((AQ8-5000*6)*{0.03,0.1,0.2,0.25,0.3,0.35,0.45}-{0,2520,16920,31920,52920,85920,181920},0),2)</f>
        <v>0</v>
      </c>
      <c r="AT8" s="24" t="str">
        <f>IF(ISERROR(VLOOKUP(D8,'2019年4月工资表'!D8:AS22,42,FALSE)),"0",VLOOKUP(D8,'2019年4月工资表'!D8:AS22,42,FALSE))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IF(ISERROR(AP9+VLOOKUP(D9,'2019年4月工资表'!D9:AQ23,40,FALSE)),"0",AP9+VLOOKUP(D9,'2019年4月工资表'!D9:AQ23,40,FALSE))</f>
        <v>0</v>
      </c>
      <c r="AR9" s="21">
        <f t="shared" si="11"/>
        <v>0</v>
      </c>
      <c r="AS9" s="24">
        <f>ROUND(MAX((AQ9-5000*6)*{0.03,0.1,0.2,0.25,0.3,0.35,0.45}-{0,2520,16920,31920,52920,85920,181920},0),2)</f>
        <v>0</v>
      </c>
      <c r="AT9" s="24" t="str">
        <f>IF(ISERROR(VLOOKUP(D9,'2019年4月工资表'!D9:AS23,42,FALSE)),"0",VLOOKUP(D9,'2019年4月工资表'!D9:AS23,42,FALSE))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IF(ISERROR(AP10+VLOOKUP(D10,'2019年4月工资表'!D10:AQ24,40,FALSE)),"0",AP10+VLOOKUP(D10,'2019年4月工资表'!D10:AQ24,40,FALSE))</f>
        <v>0</v>
      </c>
      <c r="AR10" s="21">
        <f t="shared" si="11"/>
        <v>0</v>
      </c>
      <c r="AS10" s="24">
        <f>ROUND(MAX((AQ10-5000*6)*{0.03,0.1,0.2,0.25,0.3,0.35,0.45}-{0,2520,16920,31920,52920,85920,181920},0),2)</f>
        <v>0</v>
      </c>
      <c r="AT10" s="24" t="str">
        <f>IF(ISERROR(VLOOKUP(D10,'2019年4月工资表'!D10:AS24,42,FALSE)),"0",VLOOKUP(D10,'2019年4月工资表'!D10:AS24,42,FALSE))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IF(ISERROR(AP11+VLOOKUP(D11,'2019年4月工资表'!D11:AQ25,40,FALSE)),"0",AP11+VLOOKUP(D11,'2019年4月工资表'!D11:AQ25,40,FALSE))</f>
        <v>0</v>
      </c>
      <c r="AR11" s="21">
        <f t="shared" si="11"/>
        <v>0</v>
      </c>
      <c r="AS11" s="24">
        <f>ROUND(MAX((AQ11-5000*6)*{0.03,0.1,0.2,0.25,0.3,0.35,0.45}-{0,2520,16920,31920,52920,85920,181920},0),2)</f>
        <v>0</v>
      </c>
      <c r="AT11" s="24" t="str">
        <f>IF(ISERROR(VLOOKUP(D11,'2019年4月工资表'!D11:AS25,42,FALSE)),"0",VLOOKUP(D11,'2019年4月工资表'!D11:AS25,42,FALSE))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IF(ISERROR(AP12+VLOOKUP(D12,'2019年4月工资表'!D12:AQ26,40,FALSE)),"0",AP12+VLOOKUP(D12,'2019年4月工资表'!D12:AQ26,40,FALSE))</f>
        <v>0</v>
      </c>
      <c r="AR12" s="21">
        <f t="shared" si="11"/>
        <v>0</v>
      </c>
      <c r="AS12" s="24">
        <f>ROUND(MAX((AQ12-5000*6)*{0.03,0.1,0.2,0.25,0.3,0.35,0.45}-{0,2520,16920,31920,52920,85920,181920},0),2)</f>
        <v>0</v>
      </c>
      <c r="AT12" s="24" t="str">
        <f>IF(ISERROR(VLOOKUP(D12,'2019年4月工资表'!D12:AS26,42,FALSE)),"0",VLOOKUP(D12,'2019年4月工资表'!D12:AS26,42,FALSE))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IF(ISERROR(AP13+VLOOKUP(D13,'2019年4月工资表'!D13:AQ27,40,FALSE)),"0",AP13+VLOOKUP(D13,'2019年4月工资表'!D13:AQ27,40,FALSE))</f>
        <v>0</v>
      </c>
      <c r="AR13" s="21">
        <f t="shared" si="11"/>
        <v>0</v>
      </c>
      <c r="AS13" s="24">
        <f>ROUND(MAX((AQ13-5000*6)*{0.03,0.1,0.2,0.25,0.3,0.35,0.45}-{0,2520,16920,31920,52920,85920,181920},0),2)</f>
        <v>0</v>
      </c>
      <c r="AT13" s="24" t="str">
        <f>IF(ISERROR(VLOOKUP(D13,'2019年4月工资表'!D13:AS27,42,FALSE)),"0",VLOOKUP(D13,'2019年4月工资表'!D13:AS27,42,FALSE))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IF(ISERROR(AP14+VLOOKUP(D14,'2019年4月工资表'!D14:AQ28,40,FALSE)),"0",AP14+VLOOKUP(D14,'2019年4月工资表'!D14:AQ28,40,FALSE))</f>
        <v>0</v>
      </c>
      <c r="AR14" s="21">
        <f t="shared" si="11"/>
        <v>0</v>
      </c>
      <c r="AS14" s="24">
        <f>ROUND(MAX((AQ14-5000*6)*{0.03,0.1,0.2,0.25,0.3,0.35,0.45}-{0,2520,16920,31920,52920,85920,181920},0),2)</f>
        <v>0</v>
      </c>
      <c r="AT14" s="24" t="str">
        <f>IF(ISERROR(VLOOKUP(D14,'2019年4月工资表'!D14:AS28,42,FALSE)),"0",VLOOKUP(D14,'2019年4月工资表'!D14:AS28,42,FALSE))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IF(ISERROR(AP15+VLOOKUP(D15,'2019年4月工资表'!D15:AQ29,40,FALSE)),"0",AP15+VLOOKUP(D15,'2019年4月工资表'!D15:AQ29,40,FALSE))</f>
        <v>0</v>
      </c>
      <c r="AR15" s="21">
        <f t="shared" si="11"/>
        <v>0</v>
      </c>
      <c r="AS15" s="24">
        <f>ROUND(MAX((AQ15-5000*6)*{0.03,0.1,0.2,0.25,0.3,0.35,0.45}-{0,2520,16920,31920,52920,85920,181920},0),2)</f>
        <v>0</v>
      </c>
      <c r="AT15" s="24" t="str">
        <f>IF(ISERROR(VLOOKUP(D15,'2019年4月工资表'!D15:AS29,42,FALSE)),"0",VLOOKUP(D15,'2019年4月工资表'!D15:AS29,42,FALSE))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IF(ISERROR(AP16+VLOOKUP(D16,'2019年4月工资表'!D16:AQ30,40,FALSE)),"0",AP16+VLOOKUP(D16,'2019年4月工资表'!D16:AQ30,40,FALSE))</f>
        <v>0</v>
      </c>
      <c r="AR16" s="21">
        <f t="shared" si="11"/>
        <v>0</v>
      </c>
      <c r="AS16" s="24">
        <f>ROUND(MAX((AQ16-5000*6)*{0.03,0.1,0.2,0.25,0.3,0.35,0.45}-{0,2520,16920,31920,52920,85920,181920},0),2)</f>
        <v>0</v>
      </c>
      <c r="AT16" s="24" t="str">
        <f>IF(ISERROR(VLOOKUP(D16,'2019年4月工资表'!D16:AS30,42,FALSE)),"0",VLOOKUP(D16,'2019年4月工资表'!D16:AS30,42,FALSE))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IF(ISERROR(AP17+VLOOKUP(D17,'2019年4月工资表'!D17:AQ31,40,FALSE)),"0",AP17+VLOOKUP(D17,'2019年4月工资表'!D17:AQ31,40,FALSE))</f>
        <v>0</v>
      </c>
      <c r="AR17" s="21">
        <f t="shared" si="11"/>
        <v>0</v>
      </c>
      <c r="AS17" s="24">
        <f>ROUND(MAX((AQ17-5000*6)*{0.03,0.1,0.2,0.25,0.3,0.35,0.45}-{0,2520,16920,31920,52920,85920,181920},0),2)</f>
        <v>0</v>
      </c>
      <c r="AT17" s="24" t="str">
        <f>IF(ISERROR(VLOOKUP(D17,'2019年4月工资表'!D17:AS31,42,FALSE)),"0",VLOOKUP(D17,'2019年4月工资表'!D17:AS31,42,FALSE))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IF(ISERROR(AP18+VLOOKUP(D18,'2019年4月工资表'!D18:AQ32,40,FALSE)),"0",AP18+VLOOKUP(D18,'2019年4月工资表'!D18:AQ32,40,FALSE))</f>
        <v>0</v>
      </c>
      <c r="AR18" s="21">
        <f t="shared" si="11"/>
        <v>0</v>
      </c>
      <c r="AS18" s="24">
        <f>ROUND(MAX((AQ18-5000*6)*{0.03,0.1,0.2,0.25,0.3,0.35,0.45}-{0,2520,16920,31920,52920,85920,181920},0),2)</f>
        <v>0</v>
      </c>
      <c r="AT18" s="24" t="str">
        <f>IF(ISERROR(VLOOKUP(D18,'2019年4月工资表'!D18:AS32,42,FALSE)),"0",VLOOKUP(D18,'2019年4月工资表'!D18:AS32,42,FALSE))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IV21"/>
  <sheetViews>
    <sheetView workbookViewId="0" topLeftCell="A1">
      <pane xSplit="4" ySplit="3" topLeftCell="Z4" activePane="bottomRight" state="frozen"/>
      <selection pane="bottomRight" activeCell="AQ4" sqref="AQ4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4" width="10.421875" style="26" customWidth="1"/>
    <col min="45" max="46" width="9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16384" width="9.00390625" style="8" customWidth="1"/>
  </cols>
  <sheetData>
    <row r="1" spans="1:50" s="8" customFormat="1" ht="39.75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IF(ISERROR(AP4+VLOOKUP(D4,'2019年5月工资表'!D4:AQ18,40,FALSE)),"0",AP4+VLOOKUP(D4,'2019年5月工资表'!D4:AQ18,40,FALSE))</f>
        <v>0</v>
      </c>
      <c r="AR4" s="21">
        <f>IF(AS4-AT4&lt;0,0,AS4-AT4)</f>
        <v>0</v>
      </c>
      <c r="AS4" s="24">
        <f>ROUND(MAX((AQ4-5000*7)*{0.03,0.1,0.2,0.25,0.3,0.35,0.45}-{0,2520,16920,31920,52920,85920,181920},0),2)</f>
        <v>0</v>
      </c>
      <c r="AT4" s="24">
        <f>IF(ISERROR(VLOOKUP(D4,'2019年5月工资表'!D4:AS18,42,FALSE)),"0",VLOOKUP(D4,'2019年5月工资表'!D4:AS18,42,FALSE))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IF(ISERROR(AP5+VLOOKUP(D5,'2019年5月工资表'!D5:AQ19,40,FALSE)),"0",AP5+VLOOKUP(D5,'2019年5月工资表'!D5:AQ19,40,FALSE))</f>
        <v>0</v>
      </c>
      <c r="AR5" s="21">
        <f aca="true" t="shared" si="11" ref="AR5:AR18">IF(AS5-AT5&lt;0,0,AS5-AT5)</f>
        <v>0</v>
      </c>
      <c r="AS5" s="24">
        <f>ROUND(MAX((AQ5-5000*7)*{0.03,0.1,0.2,0.25,0.3,0.35,0.45}-{0,2520,16920,31920,52920,85920,181920},0),2)</f>
        <v>0</v>
      </c>
      <c r="AT5" s="24" t="str">
        <f>IF(ISERROR(VLOOKUP(D5,'2019年5月工资表'!D5:AS19,42,FALSE)),"0",VLOOKUP(D5,'2019年5月工资表'!D5:AS19,42,FALSE))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IF(ISERROR(AP6+VLOOKUP(D6,'2019年5月工资表'!D6:AQ20,40,FALSE)),"0",AP6+VLOOKUP(D6,'2019年5月工资表'!D6:AQ20,40,FALSE))</f>
        <v>0</v>
      </c>
      <c r="AR6" s="21">
        <f t="shared" si="11"/>
        <v>0</v>
      </c>
      <c r="AS6" s="24">
        <f>ROUND(MAX((AQ6-5000*7)*{0.03,0.1,0.2,0.25,0.3,0.35,0.45}-{0,2520,16920,31920,52920,85920,181920},0),2)</f>
        <v>0</v>
      </c>
      <c r="AT6" s="24" t="str">
        <f>IF(ISERROR(VLOOKUP(D6,'2019年5月工资表'!D6:AS20,42,FALSE)),"0",VLOOKUP(D6,'2019年5月工资表'!D6:AS20,42,FALSE))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IF(ISERROR(AP7+VLOOKUP(D7,'2019年5月工资表'!D7:AQ21,40,FALSE)),"0",AP7+VLOOKUP(D7,'2019年5月工资表'!D7:AQ21,40,FALSE))</f>
        <v>0</v>
      </c>
      <c r="AR7" s="21">
        <f t="shared" si="11"/>
        <v>0</v>
      </c>
      <c r="AS7" s="24">
        <f>ROUND(MAX((AQ7-5000*7)*{0.03,0.1,0.2,0.25,0.3,0.35,0.45}-{0,2520,16920,31920,52920,85920,181920},0),2)</f>
        <v>0</v>
      </c>
      <c r="AT7" s="24" t="str">
        <f>IF(ISERROR(VLOOKUP(D7,'2019年5月工资表'!D7:AS21,42,FALSE)),"0",VLOOKUP(D7,'2019年5月工资表'!D7:AS21,42,FALSE))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IF(ISERROR(AP8+VLOOKUP(D8,'2019年5月工资表'!D8:AQ22,40,FALSE)),"0",AP8+VLOOKUP(D8,'2019年5月工资表'!D8:AQ22,40,FALSE))</f>
        <v>0</v>
      </c>
      <c r="AR8" s="21">
        <f t="shared" si="11"/>
        <v>0</v>
      </c>
      <c r="AS8" s="24">
        <f>ROUND(MAX((AQ8-5000*7)*{0.03,0.1,0.2,0.25,0.3,0.35,0.45}-{0,2520,16920,31920,52920,85920,181920},0),2)</f>
        <v>0</v>
      </c>
      <c r="AT8" s="24" t="str">
        <f>IF(ISERROR(VLOOKUP(D8,'2019年5月工资表'!D8:AS22,42,FALSE)),"0",VLOOKUP(D8,'2019年5月工资表'!D8:AS22,42,FALSE))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IF(ISERROR(AP9+VLOOKUP(D9,'2019年5月工资表'!D9:AQ23,40,FALSE)),"0",AP9+VLOOKUP(D9,'2019年5月工资表'!D9:AQ23,40,FALSE))</f>
        <v>0</v>
      </c>
      <c r="AR9" s="21">
        <f t="shared" si="11"/>
        <v>0</v>
      </c>
      <c r="AS9" s="24">
        <f>ROUND(MAX((AQ9-5000*7)*{0.03,0.1,0.2,0.25,0.3,0.35,0.45}-{0,2520,16920,31920,52920,85920,181920},0),2)</f>
        <v>0</v>
      </c>
      <c r="AT9" s="24" t="str">
        <f>IF(ISERROR(VLOOKUP(D9,'2019年5月工资表'!D9:AS23,42,FALSE)),"0",VLOOKUP(D9,'2019年5月工资表'!D9:AS23,42,FALSE))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IF(ISERROR(AP10+VLOOKUP(D10,'2019年5月工资表'!D10:AQ24,40,FALSE)),"0",AP10+VLOOKUP(D10,'2019年5月工资表'!D10:AQ24,40,FALSE))</f>
        <v>0</v>
      </c>
      <c r="AR10" s="21">
        <f t="shared" si="11"/>
        <v>0</v>
      </c>
      <c r="AS10" s="24">
        <f>ROUND(MAX((AQ10-5000*7)*{0.03,0.1,0.2,0.25,0.3,0.35,0.45}-{0,2520,16920,31920,52920,85920,181920},0),2)</f>
        <v>0</v>
      </c>
      <c r="AT10" s="24" t="str">
        <f>IF(ISERROR(VLOOKUP(D10,'2019年5月工资表'!D10:AS24,42,FALSE)),"0",VLOOKUP(D10,'2019年5月工资表'!D10:AS24,42,FALSE))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IF(ISERROR(AP11+VLOOKUP(D11,'2019年5月工资表'!D11:AQ25,40,FALSE)),"0",AP11+VLOOKUP(D11,'2019年5月工资表'!D11:AQ25,40,FALSE))</f>
        <v>0</v>
      </c>
      <c r="AR11" s="21">
        <f t="shared" si="11"/>
        <v>0</v>
      </c>
      <c r="AS11" s="24">
        <f>ROUND(MAX((AQ11-5000*7)*{0.03,0.1,0.2,0.25,0.3,0.35,0.45}-{0,2520,16920,31920,52920,85920,181920},0),2)</f>
        <v>0</v>
      </c>
      <c r="AT11" s="24" t="str">
        <f>IF(ISERROR(VLOOKUP(D11,'2019年5月工资表'!D11:AS25,42,FALSE)),"0",VLOOKUP(D11,'2019年5月工资表'!D11:AS25,42,FALSE))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IF(ISERROR(AP12+VLOOKUP(D12,'2019年5月工资表'!D12:AQ26,40,FALSE)),"0",AP12+VLOOKUP(D12,'2019年5月工资表'!D12:AQ26,40,FALSE))</f>
        <v>0</v>
      </c>
      <c r="AR12" s="21">
        <f t="shared" si="11"/>
        <v>0</v>
      </c>
      <c r="AS12" s="24">
        <f>ROUND(MAX((AQ12-5000*7)*{0.03,0.1,0.2,0.25,0.3,0.35,0.45}-{0,2520,16920,31920,52920,85920,181920},0),2)</f>
        <v>0</v>
      </c>
      <c r="AT12" s="24" t="str">
        <f>IF(ISERROR(VLOOKUP(D12,'2019年5月工资表'!D12:AS26,42,FALSE)),"0",VLOOKUP(D12,'2019年5月工资表'!D12:AS26,42,FALSE))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IF(ISERROR(AP13+VLOOKUP(D13,'2019年5月工资表'!D13:AQ27,40,FALSE)),"0",AP13+VLOOKUP(D13,'2019年5月工资表'!D13:AQ27,40,FALSE))</f>
        <v>0</v>
      </c>
      <c r="AR13" s="21">
        <f t="shared" si="11"/>
        <v>0</v>
      </c>
      <c r="AS13" s="24">
        <f>ROUND(MAX((AQ13-5000*7)*{0.03,0.1,0.2,0.25,0.3,0.35,0.45}-{0,2520,16920,31920,52920,85920,181920},0),2)</f>
        <v>0</v>
      </c>
      <c r="AT13" s="24" t="str">
        <f>IF(ISERROR(VLOOKUP(D13,'2019年5月工资表'!D13:AS27,42,FALSE)),"0",VLOOKUP(D13,'2019年5月工资表'!D13:AS27,42,FALSE))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IF(ISERROR(AP14+VLOOKUP(D14,'2019年5月工资表'!D14:AQ28,40,FALSE)),"0",AP14+VLOOKUP(D14,'2019年5月工资表'!D14:AQ28,40,FALSE))</f>
        <v>0</v>
      </c>
      <c r="AR14" s="21">
        <f t="shared" si="11"/>
        <v>0</v>
      </c>
      <c r="AS14" s="24">
        <f>ROUND(MAX((AQ14-5000*7)*{0.03,0.1,0.2,0.25,0.3,0.35,0.45}-{0,2520,16920,31920,52920,85920,181920},0),2)</f>
        <v>0</v>
      </c>
      <c r="AT14" s="24" t="str">
        <f>IF(ISERROR(VLOOKUP(D14,'2019年5月工资表'!D14:AS28,42,FALSE)),"0",VLOOKUP(D14,'2019年5月工资表'!D14:AS28,42,FALSE))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IF(ISERROR(AP15+VLOOKUP(D15,'2019年5月工资表'!D15:AQ29,40,FALSE)),"0",AP15+VLOOKUP(D15,'2019年5月工资表'!D15:AQ29,40,FALSE))</f>
        <v>0</v>
      </c>
      <c r="AR15" s="21">
        <f t="shared" si="11"/>
        <v>0</v>
      </c>
      <c r="AS15" s="24">
        <f>ROUND(MAX((AQ15-5000*7)*{0.03,0.1,0.2,0.25,0.3,0.35,0.45}-{0,2520,16920,31920,52920,85920,181920},0),2)</f>
        <v>0</v>
      </c>
      <c r="AT15" s="24" t="str">
        <f>IF(ISERROR(VLOOKUP(D15,'2019年5月工资表'!D15:AS29,42,FALSE)),"0",VLOOKUP(D15,'2019年5月工资表'!D15:AS29,42,FALSE))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IF(ISERROR(AP16+VLOOKUP(D16,'2019年5月工资表'!D16:AQ30,40,FALSE)),"0",AP16+VLOOKUP(D16,'2019年5月工资表'!D16:AQ30,40,FALSE))</f>
        <v>0</v>
      </c>
      <c r="AR16" s="21">
        <f t="shared" si="11"/>
        <v>0</v>
      </c>
      <c r="AS16" s="24">
        <f>ROUND(MAX((AQ16-5000*7)*{0.03,0.1,0.2,0.25,0.3,0.35,0.45}-{0,2520,16920,31920,52920,85920,181920},0),2)</f>
        <v>0</v>
      </c>
      <c r="AT16" s="24" t="str">
        <f>IF(ISERROR(VLOOKUP(D16,'2019年5月工资表'!D16:AS30,42,FALSE)),"0",VLOOKUP(D16,'2019年5月工资表'!D16:AS30,42,FALSE))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IF(ISERROR(AP17+VLOOKUP(D17,'2019年5月工资表'!D17:AQ31,40,FALSE)),"0",AP17+VLOOKUP(D17,'2019年5月工资表'!D17:AQ31,40,FALSE))</f>
        <v>0</v>
      </c>
      <c r="AR17" s="21">
        <f t="shared" si="11"/>
        <v>0</v>
      </c>
      <c r="AS17" s="24">
        <f>ROUND(MAX((AQ17-5000*7)*{0.03,0.1,0.2,0.25,0.3,0.35,0.45}-{0,2520,16920,31920,52920,85920,181920},0),2)</f>
        <v>0</v>
      </c>
      <c r="AT17" s="24" t="str">
        <f>IF(ISERROR(VLOOKUP(D17,'2019年5月工资表'!D17:AS31,42,FALSE)),"0",VLOOKUP(D17,'2019年5月工资表'!D17:AS31,42,FALSE))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IF(ISERROR(AP18+VLOOKUP(D18,'2019年5月工资表'!D18:AQ32,40,FALSE)),"0",AP18+VLOOKUP(D18,'2019年5月工资表'!D18:AQ32,40,FALSE))</f>
        <v>0</v>
      </c>
      <c r="AR18" s="21">
        <f t="shared" si="11"/>
        <v>0</v>
      </c>
      <c r="AS18" s="24">
        <f>ROUND(MAX((AQ18-5000*7)*{0.03,0.1,0.2,0.25,0.3,0.35,0.45}-{0,2520,16920,31920,52920,85920,181920},0),2)</f>
        <v>0</v>
      </c>
      <c r="AT18" s="24" t="str">
        <f>IF(ISERROR(VLOOKUP(D18,'2019年5月工资表'!D18:AS32,42,FALSE)),"0",VLOOKUP(D18,'2019年5月工资表'!D18:AS32,42,FALSE))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F3621"/>
  </sheetPr>
  <dimension ref="A1:IV21"/>
  <sheetViews>
    <sheetView workbookViewId="0" topLeftCell="A1">
      <pane xSplit="4" ySplit="3" topLeftCell="E4" activePane="bottomRight" state="frozen"/>
      <selection pane="bottomRight" activeCell="AA9" sqref="AA9"/>
    </sheetView>
  </sheetViews>
  <sheetFormatPr defaultColWidth="9.00390625" defaultRowHeight="15"/>
  <cols>
    <col min="1" max="1" width="5.421875" style="8" customWidth="1"/>
    <col min="2" max="2" width="6.421875" style="8" customWidth="1"/>
    <col min="3" max="3" width="8.28125" style="8" customWidth="1"/>
    <col min="4" max="4" width="7.421875" style="8" customWidth="1"/>
    <col min="5" max="5" width="20.28125" style="8" customWidth="1"/>
    <col min="6" max="10" width="5.140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3" width="10.421875" style="26" customWidth="1"/>
    <col min="44" max="44" width="9.140625" style="26" customWidth="1"/>
    <col min="45" max="46" width="9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16384" width="9.00390625" style="8" customWidth="1"/>
  </cols>
  <sheetData>
    <row r="1" spans="1:50" s="8" customFormat="1" ht="39.75" customHeight="1">
      <c r="A1" s="11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IF(ISERROR(AP4+VLOOKUP(D4,'2019年6月工资表'!D4:AQ18,40,FALSE)),"0",AP4+VLOOKUP(D4,'2019年6月工资表'!D4:AQ18,40,FALSE))</f>
        <v>0</v>
      </c>
      <c r="AR4" s="21">
        <f>IF(AS4-AT4&lt;0,0,AS4-AT4)</f>
        <v>0</v>
      </c>
      <c r="AS4" s="24">
        <f>ROUND(MAX((AQ4-5000*8)*{0.03,0.1,0.2,0.25,0.3,0.35,0.45}-{0,2520,16920,31920,52920,85920,181920},0),2)</f>
        <v>0</v>
      </c>
      <c r="AT4" s="24">
        <f>IF(ISERROR(VLOOKUP(D4,'2019年6月工资表'!D4:AS18,42,FALSE)),"0",VLOOKUP(D4,'2019年6月工资表'!D4:AS18,42,FALSE))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IF(ISERROR(AP5+VLOOKUP(D5,'2019年6月工资表'!D5:AQ19,40,FALSE)),"0",AP5+VLOOKUP(D5,'2019年6月工资表'!D5:AQ19,40,FALSE))</f>
        <v>0</v>
      </c>
      <c r="AR5" s="21">
        <f aca="true" t="shared" si="11" ref="AR5:AR18">IF(AS5-AT5&lt;0,0,AS5-AT5)</f>
        <v>0</v>
      </c>
      <c r="AS5" s="24">
        <f>ROUND(MAX((AQ5-5000*8)*{0.03,0.1,0.2,0.25,0.3,0.35,0.45}-{0,2520,16920,31920,52920,85920,181920},0),2)</f>
        <v>0</v>
      </c>
      <c r="AT5" s="24" t="str">
        <f>IF(ISERROR(VLOOKUP(D5,'2019年6月工资表'!D5:AS19,42,FALSE)),"0",VLOOKUP(D5,'2019年6月工资表'!D5:AS19,42,FALSE))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IF(ISERROR(AP6+VLOOKUP(D6,'2019年6月工资表'!D6:AQ20,40,FALSE)),"0",AP6+VLOOKUP(D6,'2019年6月工资表'!D6:AQ20,40,FALSE))</f>
        <v>0</v>
      </c>
      <c r="AR6" s="21">
        <f t="shared" si="11"/>
        <v>0</v>
      </c>
      <c r="AS6" s="24">
        <f>ROUND(MAX((AQ6-5000*8)*{0.03,0.1,0.2,0.25,0.3,0.35,0.45}-{0,2520,16920,31920,52920,85920,181920},0),2)</f>
        <v>0</v>
      </c>
      <c r="AT6" s="24" t="str">
        <f>IF(ISERROR(VLOOKUP(D6,'2019年6月工资表'!D6:AS20,42,FALSE)),"0",VLOOKUP(D6,'2019年6月工资表'!D6:AS20,42,FALSE))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IF(ISERROR(AP7+VLOOKUP(D7,'2019年6月工资表'!D7:AQ21,40,FALSE)),"0",AP7+VLOOKUP(D7,'2019年6月工资表'!D7:AQ21,40,FALSE))</f>
        <v>0</v>
      </c>
      <c r="AR7" s="21">
        <f t="shared" si="11"/>
        <v>0</v>
      </c>
      <c r="AS7" s="24">
        <f>ROUND(MAX((AQ7-5000*8)*{0.03,0.1,0.2,0.25,0.3,0.35,0.45}-{0,2520,16920,31920,52920,85920,181920},0),2)</f>
        <v>0</v>
      </c>
      <c r="AT7" s="24" t="str">
        <f>IF(ISERROR(VLOOKUP(D7,'2019年6月工资表'!D7:AS21,42,FALSE)),"0",VLOOKUP(D7,'2019年6月工资表'!D7:AS21,42,FALSE))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IF(ISERROR(AP8+VLOOKUP(D8,'2019年6月工资表'!D8:AQ22,40,FALSE)),"0",AP8+VLOOKUP(D8,'2019年6月工资表'!D8:AQ22,40,FALSE))</f>
        <v>0</v>
      </c>
      <c r="AR8" s="21">
        <f t="shared" si="11"/>
        <v>0</v>
      </c>
      <c r="AS8" s="24">
        <f>ROUND(MAX((AQ8-5000*8)*{0.03,0.1,0.2,0.25,0.3,0.35,0.45}-{0,2520,16920,31920,52920,85920,181920},0),2)</f>
        <v>0</v>
      </c>
      <c r="AT8" s="24" t="str">
        <f>IF(ISERROR(VLOOKUP(D8,'2019年6月工资表'!D8:AS22,42,FALSE)),"0",VLOOKUP(D8,'2019年6月工资表'!D8:AS22,42,FALSE))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IF(ISERROR(AP9+VLOOKUP(D9,'2019年6月工资表'!D9:AQ23,40,FALSE)),"0",AP9+VLOOKUP(D9,'2019年6月工资表'!D9:AQ23,40,FALSE))</f>
        <v>0</v>
      </c>
      <c r="AR9" s="21">
        <f t="shared" si="11"/>
        <v>0</v>
      </c>
      <c r="AS9" s="24">
        <f>ROUND(MAX((AQ9-5000*8)*{0.03,0.1,0.2,0.25,0.3,0.35,0.45}-{0,2520,16920,31920,52920,85920,181920},0),2)</f>
        <v>0</v>
      </c>
      <c r="AT9" s="24" t="str">
        <f>IF(ISERROR(VLOOKUP(D9,'2019年6月工资表'!D9:AS23,42,FALSE)),"0",VLOOKUP(D9,'2019年6月工资表'!D9:AS23,42,FALSE))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IF(ISERROR(AP10+VLOOKUP(D10,'2019年6月工资表'!D10:AQ24,40,FALSE)),"0",AP10+VLOOKUP(D10,'2019年6月工资表'!D10:AQ24,40,FALSE))</f>
        <v>0</v>
      </c>
      <c r="AR10" s="21">
        <f t="shared" si="11"/>
        <v>0</v>
      </c>
      <c r="AS10" s="24">
        <f>ROUND(MAX((AQ10-5000*8)*{0.03,0.1,0.2,0.25,0.3,0.35,0.45}-{0,2520,16920,31920,52920,85920,181920},0),2)</f>
        <v>0</v>
      </c>
      <c r="AT10" s="24" t="str">
        <f>IF(ISERROR(VLOOKUP(D10,'2019年6月工资表'!D10:AS24,42,FALSE)),"0",VLOOKUP(D10,'2019年6月工资表'!D10:AS24,42,FALSE))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IF(ISERROR(AP11+VLOOKUP(D11,'2019年6月工资表'!D11:AQ25,40,FALSE)),"0",AP11+VLOOKUP(D11,'2019年6月工资表'!D11:AQ25,40,FALSE))</f>
        <v>0</v>
      </c>
      <c r="AR11" s="21">
        <f t="shared" si="11"/>
        <v>0</v>
      </c>
      <c r="AS11" s="24">
        <f>ROUND(MAX((AQ11-5000*8)*{0.03,0.1,0.2,0.25,0.3,0.35,0.45}-{0,2520,16920,31920,52920,85920,181920},0),2)</f>
        <v>0</v>
      </c>
      <c r="AT11" s="24" t="str">
        <f>IF(ISERROR(VLOOKUP(D11,'2019年6月工资表'!D11:AS25,42,FALSE)),"0",VLOOKUP(D11,'2019年6月工资表'!D11:AS25,42,FALSE))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IF(ISERROR(AP12+VLOOKUP(D12,'2019年6月工资表'!D12:AQ26,40,FALSE)),"0",AP12+VLOOKUP(D12,'2019年6月工资表'!D12:AQ26,40,FALSE))</f>
        <v>0</v>
      </c>
      <c r="AR12" s="21">
        <f t="shared" si="11"/>
        <v>0</v>
      </c>
      <c r="AS12" s="24">
        <f>ROUND(MAX((AQ12-5000*8)*{0.03,0.1,0.2,0.25,0.3,0.35,0.45}-{0,2520,16920,31920,52920,85920,181920},0),2)</f>
        <v>0</v>
      </c>
      <c r="AT12" s="24" t="str">
        <f>IF(ISERROR(VLOOKUP(D12,'2019年6月工资表'!D12:AS26,42,FALSE)),"0",VLOOKUP(D12,'2019年6月工资表'!D12:AS26,42,FALSE))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IF(ISERROR(AP13+VLOOKUP(D13,'2019年6月工资表'!D13:AQ27,40,FALSE)),"0",AP13+VLOOKUP(D13,'2019年6月工资表'!D13:AQ27,40,FALSE))</f>
        <v>0</v>
      </c>
      <c r="AR13" s="21">
        <f t="shared" si="11"/>
        <v>0</v>
      </c>
      <c r="AS13" s="24">
        <f>ROUND(MAX((AQ13-5000*8)*{0.03,0.1,0.2,0.25,0.3,0.35,0.45}-{0,2520,16920,31920,52920,85920,181920},0),2)</f>
        <v>0</v>
      </c>
      <c r="AT13" s="24" t="str">
        <f>IF(ISERROR(VLOOKUP(D13,'2019年6月工资表'!D13:AS27,42,FALSE)),"0",VLOOKUP(D13,'2019年6月工资表'!D13:AS27,42,FALSE))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IF(ISERROR(AP14+VLOOKUP(D14,'2019年6月工资表'!D14:AQ28,40,FALSE)),"0",AP14+VLOOKUP(D14,'2019年6月工资表'!D14:AQ28,40,FALSE))</f>
        <v>0</v>
      </c>
      <c r="AR14" s="21">
        <f t="shared" si="11"/>
        <v>0</v>
      </c>
      <c r="AS14" s="24">
        <f>ROUND(MAX((AQ14-5000*8)*{0.03,0.1,0.2,0.25,0.3,0.35,0.45}-{0,2520,16920,31920,52920,85920,181920},0),2)</f>
        <v>0</v>
      </c>
      <c r="AT14" s="24" t="str">
        <f>IF(ISERROR(VLOOKUP(D14,'2019年6月工资表'!D14:AS28,42,FALSE)),"0",VLOOKUP(D14,'2019年6月工资表'!D14:AS28,42,FALSE))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IF(ISERROR(AP15+VLOOKUP(D15,'2019年6月工资表'!D15:AQ29,40,FALSE)),"0",AP15+VLOOKUP(D15,'2019年6月工资表'!D15:AQ29,40,FALSE))</f>
        <v>0</v>
      </c>
      <c r="AR15" s="21">
        <f t="shared" si="11"/>
        <v>0</v>
      </c>
      <c r="AS15" s="24">
        <f>ROUND(MAX((AQ15-5000*8)*{0.03,0.1,0.2,0.25,0.3,0.35,0.45}-{0,2520,16920,31920,52920,85920,181920},0),2)</f>
        <v>0</v>
      </c>
      <c r="AT15" s="24" t="str">
        <f>IF(ISERROR(VLOOKUP(D15,'2019年6月工资表'!D15:AS29,42,FALSE)),"0",VLOOKUP(D15,'2019年6月工资表'!D15:AS29,42,FALSE))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IF(ISERROR(AP16+VLOOKUP(D16,'2019年6月工资表'!D16:AQ30,40,FALSE)),"0",AP16+VLOOKUP(D16,'2019年6月工资表'!D16:AQ30,40,FALSE))</f>
        <v>0</v>
      </c>
      <c r="AR16" s="21">
        <f t="shared" si="11"/>
        <v>0</v>
      </c>
      <c r="AS16" s="24">
        <f>ROUND(MAX((AQ16-5000*8)*{0.03,0.1,0.2,0.25,0.3,0.35,0.45}-{0,2520,16920,31920,52920,85920,181920},0),2)</f>
        <v>0</v>
      </c>
      <c r="AT16" s="24" t="str">
        <f>IF(ISERROR(VLOOKUP(D16,'2019年6月工资表'!D16:AS30,42,FALSE)),"0",VLOOKUP(D16,'2019年6月工资表'!D16:AS30,42,FALSE))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IF(ISERROR(AP17+VLOOKUP(D17,'2019年6月工资表'!D17:AQ31,40,FALSE)),"0",AP17+VLOOKUP(D17,'2019年6月工资表'!D17:AQ31,40,FALSE))</f>
        <v>0</v>
      </c>
      <c r="AR17" s="21">
        <f t="shared" si="11"/>
        <v>0</v>
      </c>
      <c r="AS17" s="24">
        <f>ROUND(MAX((AQ17-5000*8)*{0.03,0.1,0.2,0.25,0.3,0.35,0.45}-{0,2520,16920,31920,52920,85920,181920},0),2)</f>
        <v>0</v>
      </c>
      <c r="AT17" s="24" t="str">
        <f>IF(ISERROR(VLOOKUP(D17,'2019年6月工资表'!D17:AS31,42,FALSE)),"0",VLOOKUP(D17,'2019年6月工资表'!D17:AS31,42,FALSE))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IF(ISERROR(AP18+VLOOKUP(D18,'2019年6月工资表'!D18:AQ32,40,FALSE)),"0",AP18+VLOOKUP(D18,'2019年6月工资表'!D18:AQ32,40,FALSE))</f>
        <v>0</v>
      </c>
      <c r="AR18" s="21">
        <f t="shared" si="11"/>
        <v>0</v>
      </c>
      <c r="AS18" s="24">
        <f>ROUND(MAX((AQ18-5000*8)*{0.03,0.1,0.2,0.25,0.3,0.35,0.45}-{0,2520,16920,31920,52920,85920,181920},0),2)</f>
        <v>0</v>
      </c>
      <c r="AT18" s="24" t="str">
        <f>IF(ISERROR(VLOOKUP(D18,'2019年6月工资表'!D18:AS32,42,FALSE)),"0",VLOOKUP(D18,'2019年6月工资表'!D18:AS32,42,FALSE))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5307B2"/>
  </sheetPr>
  <dimension ref="A1:IV21"/>
  <sheetViews>
    <sheetView workbookViewId="0" topLeftCell="A1">
      <pane xSplit="4" ySplit="3" topLeftCell="E4" activePane="bottomRight" state="frozen"/>
      <selection pane="bottomRight" activeCell="K9" sqref="K9"/>
    </sheetView>
  </sheetViews>
  <sheetFormatPr defaultColWidth="9.00390625" defaultRowHeight="15"/>
  <cols>
    <col min="1" max="4" width="4.8515625" style="8" customWidth="1"/>
    <col min="5" max="5" width="18.57421875" style="8" customWidth="1"/>
    <col min="6" max="7" width="7.00390625" style="8" customWidth="1"/>
    <col min="8" max="10" width="4.8515625" style="8" customWidth="1"/>
    <col min="11" max="11" width="10.421875" style="26" customWidth="1"/>
    <col min="12" max="12" width="9.421875" style="26" customWidth="1"/>
    <col min="13" max="17" width="8.421875" style="26" customWidth="1"/>
    <col min="18" max="18" width="7.421875" style="26" customWidth="1"/>
    <col min="19" max="19" width="10.421875" style="26" customWidth="1"/>
    <col min="20" max="22" width="8.421875" style="26" customWidth="1"/>
    <col min="23" max="23" width="8.140625" style="26" customWidth="1"/>
    <col min="24" max="26" width="6.421875" style="26" customWidth="1"/>
    <col min="27" max="27" width="8.421875" style="26" customWidth="1"/>
    <col min="28" max="29" width="6.421875" style="26" customWidth="1"/>
    <col min="30" max="30" width="7.00390625" style="26" customWidth="1"/>
    <col min="31" max="31" width="8.421875" style="26" customWidth="1"/>
    <col min="32" max="33" width="7.00390625" style="26" customWidth="1"/>
    <col min="34" max="34" width="9.140625" style="26" customWidth="1"/>
    <col min="35" max="41" width="6.421875" style="26" customWidth="1"/>
    <col min="42" max="42" width="10.421875" style="26" customWidth="1"/>
    <col min="43" max="43" width="11.421875" style="26" customWidth="1"/>
    <col min="44" max="44" width="9.140625" style="26" customWidth="1"/>
    <col min="45" max="46" width="9.421875" style="26" customWidth="1"/>
    <col min="47" max="47" width="10.421875" style="26" customWidth="1"/>
    <col min="48" max="48" width="6.421875" style="26" customWidth="1"/>
    <col min="49" max="49" width="10.421875" style="26" customWidth="1"/>
    <col min="50" max="50" width="7.00390625" style="8" customWidth="1"/>
    <col min="51" max="16384" width="9.00390625" style="8" customWidth="1"/>
  </cols>
  <sheetData>
    <row r="1" spans="1:50" s="8" customFormat="1" ht="39.75" customHeight="1">
      <c r="A1" s="11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</row>
    <row r="2" spans="1:256" s="9" customFormat="1" ht="30" customHeight="1">
      <c r="A2" s="12" t="s">
        <v>1</v>
      </c>
      <c r="B2" s="12" t="s">
        <v>2</v>
      </c>
      <c r="C2" s="12" t="s">
        <v>86</v>
      </c>
      <c r="D2" s="12" t="s">
        <v>3</v>
      </c>
      <c r="E2" s="12" t="s">
        <v>4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8" t="s">
        <v>11</v>
      </c>
      <c r="L2" s="28"/>
      <c r="M2" s="28"/>
      <c r="N2" s="28"/>
      <c r="O2" s="28"/>
      <c r="P2" s="28"/>
      <c r="Q2" s="28"/>
      <c r="R2" s="28"/>
      <c r="S2" s="28"/>
      <c r="T2" s="31" t="s">
        <v>12</v>
      </c>
      <c r="U2" s="32"/>
      <c r="V2" s="32"/>
      <c r="W2" s="31" t="s">
        <v>13</v>
      </c>
      <c r="X2" s="32"/>
      <c r="Y2" s="32"/>
      <c r="Z2" s="33"/>
      <c r="AA2" s="28" t="s">
        <v>14</v>
      </c>
      <c r="AB2" s="28"/>
      <c r="AC2" s="28"/>
      <c r="AD2" s="28"/>
      <c r="AE2" s="28"/>
      <c r="AF2" s="31" t="s">
        <v>15</v>
      </c>
      <c r="AG2" s="32"/>
      <c r="AH2" s="32"/>
      <c r="AI2" s="33"/>
      <c r="AJ2" s="28" t="s">
        <v>16</v>
      </c>
      <c r="AK2" s="28"/>
      <c r="AL2" s="28"/>
      <c r="AM2" s="28"/>
      <c r="AN2" s="28"/>
      <c r="AO2" s="28"/>
      <c r="AP2" s="31" t="s">
        <v>17</v>
      </c>
      <c r="AQ2" s="33"/>
      <c r="AR2" s="28" t="s">
        <v>18</v>
      </c>
      <c r="AS2" s="28"/>
      <c r="AT2" s="28"/>
      <c r="AU2" s="28" t="s">
        <v>19</v>
      </c>
      <c r="AV2" s="34" t="s">
        <v>20</v>
      </c>
      <c r="AW2" s="34" t="s">
        <v>21</v>
      </c>
      <c r="AX2" s="12" t="s">
        <v>22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45.75" customHeight="1">
      <c r="A3" s="12"/>
      <c r="B3" s="12"/>
      <c r="C3" s="12"/>
      <c r="D3" s="12"/>
      <c r="E3" s="12"/>
      <c r="F3" s="12"/>
      <c r="G3" s="12"/>
      <c r="H3" s="14"/>
      <c r="I3" s="14"/>
      <c r="J3" s="14"/>
      <c r="K3" s="28" t="s">
        <v>87</v>
      </c>
      <c r="L3" s="28" t="s">
        <v>88</v>
      </c>
      <c r="M3" s="28" t="s">
        <v>89</v>
      </c>
      <c r="N3" s="28" t="s">
        <v>90</v>
      </c>
      <c r="O3" s="28" t="s">
        <v>27</v>
      </c>
      <c r="P3" s="28" t="s">
        <v>91</v>
      </c>
      <c r="Q3" s="28" t="s">
        <v>29</v>
      </c>
      <c r="R3" s="28" t="s">
        <v>92</v>
      </c>
      <c r="S3" s="28" t="s">
        <v>31</v>
      </c>
      <c r="T3" s="28" t="s">
        <v>32</v>
      </c>
      <c r="U3" s="28" t="s">
        <v>33</v>
      </c>
      <c r="V3" s="28" t="s">
        <v>31</v>
      </c>
      <c r="W3" s="28" t="s">
        <v>34</v>
      </c>
      <c r="X3" s="28" t="s">
        <v>35</v>
      </c>
      <c r="Y3" s="28" t="s">
        <v>36</v>
      </c>
      <c r="Z3" s="28" t="s">
        <v>31</v>
      </c>
      <c r="AA3" s="28" t="s">
        <v>37</v>
      </c>
      <c r="AB3" s="28" t="s">
        <v>38</v>
      </c>
      <c r="AC3" s="28" t="s">
        <v>39</v>
      </c>
      <c r="AD3" s="28" t="s">
        <v>40</v>
      </c>
      <c r="AE3" s="28" t="s">
        <v>31</v>
      </c>
      <c r="AF3" s="28" t="s">
        <v>41</v>
      </c>
      <c r="AG3" s="28" t="s">
        <v>42</v>
      </c>
      <c r="AH3" s="28" t="s">
        <v>43</v>
      </c>
      <c r="AI3" s="28" t="s">
        <v>31</v>
      </c>
      <c r="AJ3" s="28" t="s">
        <v>44</v>
      </c>
      <c r="AK3" s="28" t="s">
        <v>45</v>
      </c>
      <c r="AL3" s="28" t="s">
        <v>46</v>
      </c>
      <c r="AM3" s="28" t="s">
        <v>47</v>
      </c>
      <c r="AN3" s="28" t="s">
        <v>48</v>
      </c>
      <c r="AO3" s="28" t="s">
        <v>31</v>
      </c>
      <c r="AP3" s="28" t="s">
        <v>49</v>
      </c>
      <c r="AQ3" s="28" t="s">
        <v>50</v>
      </c>
      <c r="AR3" s="28" t="s">
        <v>51</v>
      </c>
      <c r="AS3" s="28" t="s">
        <v>52</v>
      </c>
      <c r="AT3" s="28" t="s">
        <v>53</v>
      </c>
      <c r="AU3" s="28"/>
      <c r="AV3" s="35"/>
      <c r="AW3" s="35"/>
      <c r="AX3" s="12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0" s="10" customFormat="1" ht="23.25" customHeight="1">
      <c r="A4" s="15">
        <v>1</v>
      </c>
      <c r="B4" s="16" t="s">
        <v>56</v>
      </c>
      <c r="C4" s="15" t="s">
        <v>93</v>
      </c>
      <c r="D4" s="15" t="s">
        <v>94</v>
      </c>
      <c r="E4" s="16" t="s">
        <v>95</v>
      </c>
      <c r="F4" s="15">
        <v>22</v>
      </c>
      <c r="G4" s="15"/>
      <c r="H4" s="15"/>
      <c r="I4" s="15">
        <v>0</v>
      </c>
      <c r="J4" s="15">
        <v>0</v>
      </c>
      <c r="K4" s="21"/>
      <c r="L4" s="21"/>
      <c r="M4" s="21"/>
      <c r="N4" s="21"/>
      <c r="O4" s="21"/>
      <c r="P4" s="21"/>
      <c r="Q4" s="21"/>
      <c r="R4" s="21"/>
      <c r="S4" s="21">
        <f aca="true" t="shared" si="0" ref="S4:S18">SUM(K4:R4)</f>
        <v>0</v>
      </c>
      <c r="T4" s="21">
        <f>IF(ISERROR(K4/F4*H4),"",K4/F4*H4)</f>
        <v>0</v>
      </c>
      <c r="U4" s="21">
        <f>IF(ISERROR(K4/F4*I4*0.4),"",K4/F4*I4*0.4)</f>
        <v>0</v>
      </c>
      <c r="V4" s="24">
        <f aca="true" t="shared" si="1" ref="V4:V18">SUM(T4:U4)</f>
        <v>0</v>
      </c>
      <c r="W4" s="24">
        <v>0</v>
      </c>
      <c r="X4" s="21">
        <v>0</v>
      </c>
      <c r="Y4" s="21">
        <v>0</v>
      </c>
      <c r="Z4" s="21">
        <f aca="true" t="shared" si="2" ref="Z4:Z18">SUM(W4:Y4)</f>
        <v>0</v>
      </c>
      <c r="AA4" s="21"/>
      <c r="AB4" s="21"/>
      <c r="AC4" s="21"/>
      <c r="AD4" s="21"/>
      <c r="AE4" s="21">
        <f aca="true" t="shared" si="3" ref="AE4:AE18">SUM(AA4:AD4)</f>
        <v>0</v>
      </c>
      <c r="AF4" s="21"/>
      <c r="AG4" s="21"/>
      <c r="AH4" s="21"/>
      <c r="AI4" s="21">
        <f aca="true" t="shared" si="4" ref="AI4:AI18">SUM(AF4:AH4)</f>
        <v>0</v>
      </c>
      <c r="AJ4" s="21"/>
      <c r="AK4" s="21"/>
      <c r="AL4" s="21"/>
      <c r="AM4" s="21"/>
      <c r="AN4" s="21"/>
      <c r="AO4" s="21">
        <f aca="true" t="shared" si="5" ref="AO4:AO18">SUM(AJ4:AN4)</f>
        <v>0</v>
      </c>
      <c r="AP4" s="21">
        <f aca="true" t="shared" si="6" ref="AP4:AP18">S4-V4-Z4-AE4-AI4-AO4</f>
        <v>0</v>
      </c>
      <c r="AQ4" s="21">
        <f>IF(ISERROR(AP4+VLOOKUP(D4,'2019年7月工资表'!D4:AQ18,40,FALSE)),"0",AP4+VLOOKUP(D4,'2019年7月工资表'!D4:AQ18,40,FALSE))</f>
        <v>0</v>
      </c>
      <c r="AR4" s="21">
        <f>IF(AS4-AT4&lt;0,0,AS4-AT4)</f>
        <v>0</v>
      </c>
      <c r="AS4" s="24">
        <f>ROUND(MAX((AQ4-5000*9)*{0.03,0.1,0.2,0.25,0.3,0.35,0.45}-{0,2520,16920,31920,52920,85920,181920},0),2)</f>
        <v>0</v>
      </c>
      <c r="AT4" s="24">
        <f>IF(ISERROR(VLOOKUP(D4,'2019年7月工资表'!D4:AS18,42,FALSE)),"0",VLOOKUP(D4,'2019年7月工资表'!D4:AS18,42,FALSE))</f>
        <v>0</v>
      </c>
      <c r="AU4" s="21">
        <f aca="true" t="shared" si="7" ref="AU4:AU18">S4-V4-Z4-AE4-AI4-AR4</f>
        <v>0</v>
      </c>
      <c r="AV4" s="21"/>
      <c r="AW4" s="21">
        <f aca="true" t="shared" si="8" ref="AW4:AW18">AU4-AV4</f>
        <v>0</v>
      </c>
      <c r="AX4" s="15"/>
    </row>
    <row r="5" spans="1:50" s="10" customFormat="1" ht="23.25" customHeight="1">
      <c r="A5" s="15">
        <v>2</v>
      </c>
      <c r="B5" s="16" t="s">
        <v>57</v>
      </c>
      <c r="C5" s="15"/>
      <c r="D5" s="15"/>
      <c r="E5" s="16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>
        <f aca="true" t="shared" si="9" ref="T5:T18">IF(ISERROR(K5/F5*H5),"",K5/F5*H5)</f>
      </c>
      <c r="U5" s="21">
        <f aca="true" t="shared" si="10" ref="U5:U18">IF(ISERROR(K5/F5*I5*0.4),"",K5/F5*I5*0.4)</f>
      </c>
      <c r="V5" s="24">
        <f t="shared" si="1"/>
        <v>0</v>
      </c>
      <c r="W5" s="21"/>
      <c r="X5" s="21"/>
      <c r="Y5" s="21"/>
      <c r="Z5" s="21">
        <f t="shared" si="2"/>
        <v>0</v>
      </c>
      <c r="AA5" s="21"/>
      <c r="AB5" s="21"/>
      <c r="AC5" s="21"/>
      <c r="AD5" s="21"/>
      <c r="AE5" s="21">
        <f t="shared" si="3"/>
        <v>0</v>
      </c>
      <c r="AF5" s="21"/>
      <c r="AG5" s="21"/>
      <c r="AH5" s="21"/>
      <c r="AI5" s="21">
        <f t="shared" si="4"/>
        <v>0</v>
      </c>
      <c r="AJ5" s="21"/>
      <c r="AK5" s="21"/>
      <c r="AL5" s="21"/>
      <c r="AM5" s="21"/>
      <c r="AN5" s="21"/>
      <c r="AO5" s="21">
        <f t="shared" si="5"/>
        <v>0</v>
      </c>
      <c r="AP5" s="21">
        <f t="shared" si="6"/>
        <v>0</v>
      </c>
      <c r="AQ5" s="21" t="str">
        <f>IF(ISERROR(AP5+VLOOKUP(D5,'2019年7月工资表'!D5:AQ19,40,FALSE)),"0",AP5+VLOOKUP(D5,'2019年7月工资表'!D5:AQ19,40,FALSE))</f>
        <v>0</v>
      </c>
      <c r="AR5" s="21">
        <f aca="true" t="shared" si="11" ref="AR5:AR18">IF(AS5-AT5&lt;0,0,AS5-AT5)</f>
        <v>0</v>
      </c>
      <c r="AS5" s="24">
        <f>ROUND(MAX((AQ5-5000*9)*{0.03,0.1,0.2,0.25,0.3,0.35,0.45}-{0,2520,16920,31920,52920,85920,181920},0),2)</f>
        <v>0</v>
      </c>
      <c r="AT5" s="24" t="str">
        <f>IF(ISERROR(VLOOKUP(D5,'2019年7月工资表'!D5:AS19,42,FALSE)),"0",VLOOKUP(D5,'2019年7月工资表'!D5:AS19,42,FALSE))</f>
        <v>0</v>
      </c>
      <c r="AU5" s="21">
        <f t="shared" si="7"/>
        <v>0</v>
      </c>
      <c r="AV5" s="21"/>
      <c r="AW5" s="21">
        <f t="shared" si="8"/>
        <v>0</v>
      </c>
      <c r="AX5" s="15"/>
    </row>
    <row r="6" spans="1:50" s="10" customFormat="1" ht="23.25" customHeight="1">
      <c r="A6" s="15">
        <v>3</v>
      </c>
      <c r="B6" s="16" t="s">
        <v>58</v>
      </c>
      <c r="C6" s="15"/>
      <c r="D6" s="15"/>
      <c r="E6" s="16"/>
      <c r="F6" s="15"/>
      <c r="G6" s="15"/>
      <c r="H6" s="15"/>
      <c r="I6" s="15"/>
      <c r="J6" s="15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>
        <f t="shared" si="9"/>
      </c>
      <c r="U6" s="21">
        <f t="shared" si="10"/>
      </c>
      <c r="V6" s="24">
        <f t="shared" si="1"/>
        <v>0</v>
      </c>
      <c r="W6" s="21"/>
      <c r="X6" s="21"/>
      <c r="Y6" s="21"/>
      <c r="Z6" s="21">
        <f t="shared" si="2"/>
        <v>0</v>
      </c>
      <c r="AA6" s="21"/>
      <c r="AB6" s="21"/>
      <c r="AC6" s="21"/>
      <c r="AD6" s="21"/>
      <c r="AE6" s="21">
        <f t="shared" si="3"/>
        <v>0</v>
      </c>
      <c r="AF6" s="21"/>
      <c r="AG6" s="21"/>
      <c r="AH6" s="21"/>
      <c r="AI6" s="21">
        <f t="shared" si="4"/>
        <v>0</v>
      </c>
      <c r="AJ6" s="21"/>
      <c r="AK6" s="21"/>
      <c r="AL6" s="21"/>
      <c r="AM6" s="21"/>
      <c r="AN6" s="21"/>
      <c r="AO6" s="21">
        <f t="shared" si="5"/>
        <v>0</v>
      </c>
      <c r="AP6" s="21">
        <f t="shared" si="6"/>
        <v>0</v>
      </c>
      <c r="AQ6" s="21" t="str">
        <f>IF(ISERROR(AP6+VLOOKUP(D6,'2019年7月工资表'!D6:AQ20,40,FALSE)),"0",AP6+VLOOKUP(D6,'2019年7月工资表'!D6:AQ20,40,FALSE))</f>
        <v>0</v>
      </c>
      <c r="AR6" s="21">
        <f t="shared" si="11"/>
        <v>0</v>
      </c>
      <c r="AS6" s="24">
        <f>ROUND(MAX((AQ6-5000*9)*{0.03,0.1,0.2,0.25,0.3,0.35,0.45}-{0,2520,16920,31920,52920,85920,181920},0),2)</f>
        <v>0</v>
      </c>
      <c r="AT6" s="24" t="str">
        <f>IF(ISERROR(VLOOKUP(D6,'2019年7月工资表'!D6:AS20,42,FALSE)),"0",VLOOKUP(D6,'2019年7月工资表'!D6:AS20,42,FALSE))</f>
        <v>0</v>
      </c>
      <c r="AU6" s="21">
        <f t="shared" si="7"/>
        <v>0</v>
      </c>
      <c r="AV6" s="21"/>
      <c r="AW6" s="21">
        <f t="shared" si="8"/>
        <v>0</v>
      </c>
      <c r="AX6" s="15"/>
    </row>
    <row r="7" spans="1:50" s="10" customFormat="1" ht="23.25" customHeight="1">
      <c r="A7" s="15">
        <v>4</v>
      </c>
      <c r="B7" s="16" t="s">
        <v>59</v>
      </c>
      <c r="C7" s="15"/>
      <c r="D7" s="15"/>
      <c r="E7" s="16"/>
      <c r="F7" s="15"/>
      <c r="G7" s="15"/>
      <c r="H7" s="15"/>
      <c r="I7" s="15"/>
      <c r="J7" s="15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>
        <f t="shared" si="9"/>
      </c>
      <c r="U7" s="21">
        <f t="shared" si="10"/>
      </c>
      <c r="V7" s="24">
        <f t="shared" si="1"/>
        <v>0</v>
      </c>
      <c r="W7" s="21"/>
      <c r="X7" s="21"/>
      <c r="Y7" s="21"/>
      <c r="Z7" s="21">
        <f t="shared" si="2"/>
        <v>0</v>
      </c>
      <c r="AA7" s="21"/>
      <c r="AB7" s="21"/>
      <c r="AC7" s="21"/>
      <c r="AD7" s="21"/>
      <c r="AE7" s="21">
        <f t="shared" si="3"/>
        <v>0</v>
      </c>
      <c r="AF7" s="21"/>
      <c r="AG7" s="21"/>
      <c r="AH7" s="21"/>
      <c r="AI7" s="21">
        <f t="shared" si="4"/>
        <v>0</v>
      </c>
      <c r="AJ7" s="21"/>
      <c r="AK7" s="21"/>
      <c r="AL7" s="21"/>
      <c r="AM7" s="21"/>
      <c r="AN7" s="21"/>
      <c r="AO7" s="21">
        <f t="shared" si="5"/>
        <v>0</v>
      </c>
      <c r="AP7" s="21">
        <f t="shared" si="6"/>
        <v>0</v>
      </c>
      <c r="AQ7" s="21" t="str">
        <f>IF(ISERROR(AP7+VLOOKUP(D7,'2019年7月工资表'!D7:AQ21,40,FALSE)),"0",AP7+VLOOKUP(D7,'2019年7月工资表'!D7:AQ21,40,FALSE))</f>
        <v>0</v>
      </c>
      <c r="AR7" s="21">
        <f t="shared" si="11"/>
        <v>0</v>
      </c>
      <c r="AS7" s="24">
        <f>ROUND(MAX((AQ7-5000*9)*{0.03,0.1,0.2,0.25,0.3,0.35,0.45}-{0,2520,16920,31920,52920,85920,181920},0),2)</f>
        <v>0</v>
      </c>
      <c r="AT7" s="24" t="str">
        <f>IF(ISERROR(VLOOKUP(D7,'2019年7月工资表'!D7:AS21,42,FALSE)),"0",VLOOKUP(D7,'2019年7月工资表'!D7:AS21,42,FALSE))</f>
        <v>0</v>
      </c>
      <c r="AU7" s="21">
        <f t="shared" si="7"/>
        <v>0</v>
      </c>
      <c r="AV7" s="21"/>
      <c r="AW7" s="21">
        <f t="shared" si="8"/>
        <v>0</v>
      </c>
      <c r="AX7" s="15"/>
    </row>
    <row r="8" spans="1:50" s="10" customFormat="1" ht="23.25" customHeight="1">
      <c r="A8" s="15">
        <v>5</v>
      </c>
      <c r="B8" s="16" t="s">
        <v>60</v>
      </c>
      <c r="C8" s="15"/>
      <c r="D8" s="15"/>
      <c r="E8" s="16"/>
      <c r="F8" s="15"/>
      <c r="G8" s="15"/>
      <c r="H8" s="15"/>
      <c r="I8" s="15"/>
      <c r="J8" s="15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>
        <f t="shared" si="9"/>
      </c>
      <c r="U8" s="21">
        <f t="shared" si="10"/>
      </c>
      <c r="V8" s="24">
        <f t="shared" si="1"/>
        <v>0</v>
      </c>
      <c r="W8" s="21"/>
      <c r="X8" s="21"/>
      <c r="Y8" s="21"/>
      <c r="Z8" s="21">
        <f t="shared" si="2"/>
        <v>0</v>
      </c>
      <c r="AA8" s="21"/>
      <c r="AB8" s="21"/>
      <c r="AC8" s="21"/>
      <c r="AD8" s="21"/>
      <c r="AE8" s="21">
        <f t="shared" si="3"/>
        <v>0</v>
      </c>
      <c r="AF8" s="21"/>
      <c r="AG8" s="21"/>
      <c r="AH8" s="21"/>
      <c r="AI8" s="21">
        <f t="shared" si="4"/>
        <v>0</v>
      </c>
      <c r="AJ8" s="21"/>
      <c r="AK8" s="21"/>
      <c r="AL8" s="21"/>
      <c r="AM8" s="21"/>
      <c r="AN8" s="21"/>
      <c r="AO8" s="21">
        <f t="shared" si="5"/>
        <v>0</v>
      </c>
      <c r="AP8" s="21">
        <f t="shared" si="6"/>
        <v>0</v>
      </c>
      <c r="AQ8" s="21" t="str">
        <f>IF(ISERROR(AP8+VLOOKUP(D8,'2019年7月工资表'!D8:AQ22,40,FALSE)),"0",AP8+VLOOKUP(D8,'2019年7月工资表'!D8:AQ22,40,FALSE))</f>
        <v>0</v>
      </c>
      <c r="AR8" s="21">
        <f t="shared" si="11"/>
        <v>0</v>
      </c>
      <c r="AS8" s="24">
        <f>ROUND(MAX((AQ8-5000*9)*{0.03,0.1,0.2,0.25,0.3,0.35,0.45}-{0,2520,16920,31920,52920,85920,181920},0),2)</f>
        <v>0</v>
      </c>
      <c r="AT8" s="24" t="str">
        <f>IF(ISERROR(VLOOKUP(D8,'2019年7月工资表'!D8:AS22,42,FALSE)),"0",VLOOKUP(D8,'2019年7月工资表'!D8:AS22,42,FALSE))</f>
        <v>0</v>
      </c>
      <c r="AU8" s="21">
        <f t="shared" si="7"/>
        <v>0</v>
      </c>
      <c r="AV8" s="21"/>
      <c r="AW8" s="21">
        <f t="shared" si="8"/>
        <v>0</v>
      </c>
      <c r="AX8" s="15"/>
    </row>
    <row r="9" spans="1:50" s="10" customFormat="1" ht="23.25" customHeight="1">
      <c r="A9" s="15">
        <v>6</v>
      </c>
      <c r="B9" s="16" t="s">
        <v>61</v>
      </c>
      <c r="C9" s="15"/>
      <c r="D9" s="15"/>
      <c r="E9" s="16"/>
      <c r="F9" s="15"/>
      <c r="G9" s="15"/>
      <c r="H9" s="15"/>
      <c r="I9" s="15"/>
      <c r="J9" s="15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>
        <f t="shared" si="9"/>
      </c>
      <c r="U9" s="21">
        <f t="shared" si="10"/>
      </c>
      <c r="V9" s="24">
        <f t="shared" si="1"/>
        <v>0</v>
      </c>
      <c r="W9" s="21"/>
      <c r="X9" s="21"/>
      <c r="Y9" s="21"/>
      <c r="Z9" s="21">
        <f t="shared" si="2"/>
        <v>0</v>
      </c>
      <c r="AA9" s="21"/>
      <c r="AB9" s="21"/>
      <c r="AC9" s="21"/>
      <c r="AD9" s="21"/>
      <c r="AE9" s="21">
        <f t="shared" si="3"/>
        <v>0</v>
      </c>
      <c r="AF9" s="21"/>
      <c r="AG9" s="21"/>
      <c r="AH9" s="21"/>
      <c r="AI9" s="21">
        <f t="shared" si="4"/>
        <v>0</v>
      </c>
      <c r="AJ9" s="21"/>
      <c r="AK9" s="21"/>
      <c r="AL9" s="21"/>
      <c r="AM9" s="21"/>
      <c r="AN9" s="21"/>
      <c r="AO9" s="21">
        <f t="shared" si="5"/>
        <v>0</v>
      </c>
      <c r="AP9" s="21">
        <f t="shared" si="6"/>
        <v>0</v>
      </c>
      <c r="AQ9" s="21" t="str">
        <f>IF(ISERROR(AP9+VLOOKUP(D9,'2019年7月工资表'!D9:AQ23,40,FALSE)),"0",AP9+VLOOKUP(D9,'2019年7月工资表'!D9:AQ23,40,FALSE))</f>
        <v>0</v>
      </c>
      <c r="AR9" s="21">
        <f t="shared" si="11"/>
        <v>0</v>
      </c>
      <c r="AS9" s="24">
        <f>ROUND(MAX((AQ9-5000*9)*{0.03,0.1,0.2,0.25,0.3,0.35,0.45}-{0,2520,16920,31920,52920,85920,181920},0),2)</f>
        <v>0</v>
      </c>
      <c r="AT9" s="24" t="str">
        <f>IF(ISERROR(VLOOKUP(D9,'2019年7月工资表'!D9:AS23,42,FALSE)),"0",VLOOKUP(D9,'2019年7月工资表'!D9:AS23,42,FALSE))</f>
        <v>0</v>
      </c>
      <c r="AU9" s="21">
        <f t="shared" si="7"/>
        <v>0</v>
      </c>
      <c r="AV9" s="21"/>
      <c r="AW9" s="21">
        <f t="shared" si="8"/>
        <v>0</v>
      </c>
      <c r="AX9" s="15"/>
    </row>
    <row r="10" spans="1:50" s="10" customFormat="1" ht="23.25" customHeight="1">
      <c r="A10" s="15">
        <v>7</v>
      </c>
      <c r="B10" s="16" t="s">
        <v>62</v>
      </c>
      <c r="C10" s="15"/>
      <c r="D10" s="15"/>
      <c r="E10" s="16"/>
      <c r="F10" s="15"/>
      <c r="G10" s="15"/>
      <c r="H10" s="15"/>
      <c r="I10" s="15"/>
      <c r="J10" s="15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>
        <f t="shared" si="9"/>
      </c>
      <c r="U10" s="21">
        <f t="shared" si="10"/>
      </c>
      <c r="V10" s="24">
        <f t="shared" si="1"/>
        <v>0</v>
      </c>
      <c r="W10" s="21"/>
      <c r="X10" s="21"/>
      <c r="Y10" s="21"/>
      <c r="Z10" s="21">
        <f t="shared" si="2"/>
        <v>0</v>
      </c>
      <c r="AA10" s="21"/>
      <c r="AB10" s="21"/>
      <c r="AC10" s="21"/>
      <c r="AD10" s="21"/>
      <c r="AE10" s="21">
        <f t="shared" si="3"/>
        <v>0</v>
      </c>
      <c r="AF10" s="21"/>
      <c r="AG10" s="21"/>
      <c r="AH10" s="21"/>
      <c r="AI10" s="21">
        <f t="shared" si="4"/>
        <v>0</v>
      </c>
      <c r="AJ10" s="21"/>
      <c r="AK10" s="21"/>
      <c r="AL10" s="21"/>
      <c r="AM10" s="21"/>
      <c r="AN10" s="21"/>
      <c r="AO10" s="21">
        <f t="shared" si="5"/>
        <v>0</v>
      </c>
      <c r="AP10" s="21">
        <f t="shared" si="6"/>
        <v>0</v>
      </c>
      <c r="AQ10" s="21" t="str">
        <f>IF(ISERROR(AP10+VLOOKUP(D10,'2019年7月工资表'!D10:AQ24,40,FALSE)),"0",AP10+VLOOKUP(D10,'2019年7月工资表'!D10:AQ24,40,FALSE))</f>
        <v>0</v>
      </c>
      <c r="AR10" s="21">
        <f t="shared" si="11"/>
        <v>0</v>
      </c>
      <c r="AS10" s="24">
        <f>ROUND(MAX((AQ10-5000*9)*{0.03,0.1,0.2,0.25,0.3,0.35,0.45}-{0,2520,16920,31920,52920,85920,181920},0),2)</f>
        <v>0</v>
      </c>
      <c r="AT10" s="24" t="str">
        <f>IF(ISERROR(VLOOKUP(D10,'2019年7月工资表'!D10:AS24,42,FALSE)),"0",VLOOKUP(D10,'2019年7月工资表'!D10:AS24,42,FALSE))</f>
        <v>0</v>
      </c>
      <c r="AU10" s="21">
        <f t="shared" si="7"/>
        <v>0</v>
      </c>
      <c r="AV10" s="21"/>
      <c r="AW10" s="21">
        <f t="shared" si="8"/>
        <v>0</v>
      </c>
      <c r="AX10" s="15"/>
    </row>
    <row r="11" spans="1:50" s="10" customFormat="1" ht="23.25" customHeight="1">
      <c r="A11" s="15">
        <v>8</v>
      </c>
      <c r="B11" s="16" t="s">
        <v>63</v>
      </c>
      <c r="C11" s="15"/>
      <c r="D11" s="15"/>
      <c r="E11" s="16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>
        <f t="shared" si="9"/>
      </c>
      <c r="U11" s="21">
        <f t="shared" si="10"/>
      </c>
      <c r="V11" s="24">
        <f t="shared" si="1"/>
        <v>0</v>
      </c>
      <c r="W11" s="21"/>
      <c r="X11" s="21"/>
      <c r="Y11" s="21"/>
      <c r="Z11" s="21">
        <f t="shared" si="2"/>
        <v>0</v>
      </c>
      <c r="AA11" s="21"/>
      <c r="AB11" s="21"/>
      <c r="AC11" s="21"/>
      <c r="AD11" s="21"/>
      <c r="AE11" s="21">
        <f t="shared" si="3"/>
        <v>0</v>
      </c>
      <c r="AF11" s="21"/>
      <c r="AG11" s="21"/>
      <c r="AH11" s="21"/>
      <c r="AI11" s="21">
        <f t="shared" si="4"/>
        <v>0</v>
      </c>
      <c r="AJ11" s="21"/>
      <c r="AK11" s="21"/>
      <c r="AL11" s="21"/>
      <c r="AM11" s="21"/>
      <c r="AN11" s="21"/>
      <c r="AO11" s="21">
        <f t="shared" si="5"/>
        <v>0</v>
      </c>
      <c r="AP11" s="21">
        <f t="shared" si="6"/>
        <v>0</v>
      </c>
      <c r="AQ11" s="21" t="str">
        <f>IF(ISERROR(AP11+VLOOKUP(D11,'2019年7月工资表'!D11:AQ25,40,FALSE)),"0",AP11+VLOOKUP(D11,'2019年7月工资表'!D11:AQ25,40,FALSE))</f>
        <v>0</v>
      </c>
      <c r="AR11" s="21">
        <f t="shared" si="11"/>
        <v>0</v>
      </c>
      <c r="AS11" s="24">
        <f>ROUND(MAX((AQ11-5000*9)*{0.03,0.1,0.2,0.25,0.3,0.35,0.45}-{0,2520,16920,31920,52920,85920,181920},0),2)</f>
        <v>0</v>
      </c>
      <c r="AT11" s="24" t="str">
        <f>IF(ISERROR(VLOOKUP(D11,'2019年7月工资表'!D11:AS25,42,FALSE)),"0",VLOOKUP(D11,'2019年7月工资表'!D11:AS25,42,FALSE))</f>
        <v>0</v>
      </c>
      <c r="AU11" s="21">
        <f t="shared" si="7"/>
        <v>0</v>
      </c>
      <c r="AV11" s="21"/>
      <c r="AW11" s="21">
        <f t="shared" si="8"/>
        <v>0</v>
      </c>
      <c r="AX11" s="15"/>
    </row>
    <row r="12" spans="1:50" s="10" customFormat="1" ht="23.25" customHeight="1">
      <c r="A12" s="15">
        <v>9</v>
      </c>
      <c r="B12" s="16" t="s">
        <v>64</v>
      </c>
      <c r="C12" s="15"/>
      <c r="D12" s="15"/>
      <c r="E12" s="16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>
        <f t="shared" si="9"/>
      </c>
      <c r="U12" s="21">
        <f t="shared" si="10"/>
      </c>
      <c r="V12" s="24">
        <f t="shared" si="1"/>
        <v>0</v>
      </c>
      <c r="W12" s="21"/>
      <c r="X12" s="21"/>
      <c r="Y12" s="21"/>
      <c r="Z12" s="21">
        <f t="shared" si="2"/>
        <v>0</v>
      </c>
      <c r="AA12" s="21"/>
      <c r="AB12" s="21"/>
      <c r="AC12" s="21"/>
      <c r="AD12" s="21"/>
      <c r="AE12" s="21">
        <f t="shared" si="3"/>
        <v>0</v>
      </c>
      <c r="AF12" s="21"/>
      <c r="AG12" s="21"/>
      <c r="AH12" s="21"/>
      <c r="AI12" s="21">
        <f t="shared" si="4"/>
        <v>0</v>
      </c>
      <c r="AJ12" s="21"/>
      <c r="AK12" s="21"/>
      <c r="AL12" s="21"/>
      <c r="AM12" s="21"/>
      <c r="AN12" s="21"/>
      <c r="AO12" s="21">
        <f t="shared" si="5"/>
        <v>0</v>
      </c>
      <c r="AP12" s="21">
        <f t="shared" si="6"/>
        <v>0</v>
      </c>
      <c r="AQ12" s="21" t="str">
        <f>IF(ISERROR(AP12+VLOOKUP(D12,'2019年7月工资表'!D12:AQ26,40,FALSE)),"0",AP12+VLOOKUP(D12,'2019年7月工资表'!D12:AQ26,40,FALSE))</f>
        <v>0</v>
      </c>
      <c r="AR12" s="21">
        <f t="shared" si="11"/>
        <v>0</v>
      </c>
      <c r="AS12" s="24">
        <f>ROUND(MAX((AQ12-5000*9)*{0.03,0.1,0.2,0.25,0.3,0.35,0.45}-{0,2520,16920,31920,52920,85920,181920},0),2)</f>
        <v>0</v>
      </c>
      <c r="AT12" s="24" t="str">
        <f>IF(ISERROR(VLOOKUP(D12,'2019年7月工资表'!D12:AS26,42,FALSE)),"0",VLOOKUP(D12,'2019年7月工资表'!D12:AS26,42,FALSE))</f>
        <v>0</v>
      </c>
      <c r="AU12" s="21">
        <f t="shared" si="7"/>
        <v>0</v>
      </c>
      <c r="AV12" s="21"/>
      <c r="AW12" s="21">
        <f t="shared" si="8"/>
        <v>0</v>
      </c>
      <c r="AX12" s="15"/>
    </row>
    <row r="13" spans="1:50" s="10" customFormat="1" ht="23.25" customHeight="1">
      <c r="A13" s="15">
        <v>10</v>
      </c>
      <c r="B13" s="16" t="s">
        <v>65</v>
      </c>
      <c r="C13" s="15"/>
      <c r="D13" s="15"/>
      <c r="E13" s="16"/>
      <c r="F13" s="15"/>
      <c r="G13" s="15"/>
      <c r="H13" s="15"/>
      <c r="I13" s="15"/>
      <c r="J13" s="15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>
        <f t="shared" si="9"/>
      </c>
      <c r="U13" s="21">
        <f t="shared" si="10"/>
      </c>
      <c r="V13" s="24">
        <f t="shared" si="1"/>
        <v>0</v>
      </c>
      <c r="W13" s="21"/>
      <c r="X13" s="21"/>
      <c r="Y13" s="21"/>
      <c r="Z13" s="21">
        <f t="shared" si="2"/>
        <v>0</v>
      </c>
      <c r="AA13" s="21"/>
      <c r="AB13" s="21"/>
      <c r="AC13" s="21"/>
      <c r="AD13" s="21"/>
      <c r="AE13" s="21">
        <f t="shared" si="3"/>
        <v>0</v>
      </c>
      <c r="AF13" s="21"/>
      <c r="AG13" s="21"/>
      <c r="AH13" s="21"/>
      <c r="AI13" s="21">
        <f t="shared" si="4"/>
        <v>0</v>
      </c>
      <c r="AJ13" s="21"/>
      <c r="AK13" s="21"/>
      <c r="AL13" s="21"/>
      <c r="AM13" s="21"/>
      <c r="AN13" s="21"/>
      <c r="AO13" s="21">
        <f t="shared" si="5"/>
        <v>0</v>
      </c>
      <c r="AP13" s="21">
        <f t="shared" si="6"/>
        <v>0</v>
      </c>
      <c r="AQ13" s="21" t="str">
        <f>IF(ISERROR(AP13+VLOOKUP(D13,'2019年7月工资表'!D13:AQ27,40,FALSE)),"0",AP13+VLOOKUP(D13,'2019年7月工资表'!D13:AQ27,40,FALSE))</f>
        <v>0</v>
      </c>
      <c r="AR13" s="21">
        <f t="shared" si="11"/>
        <v>0</v>
      </c>
      <c r="AS13" s="24">
        <f>ROUND(MAX((AQ13-5000*9)*{0.03,0.1,0.2,0.25,0.3,0.35,0.45}-{0,2520,16920,31920,52920,85920,181920},0),2)</f>
        <v>0</v>
      </c>
      <c r="AT13" s="24" t="str">
        <f>IF(ISERROR(VLOOKUP(D13,'2019年7月工资表'!D13:AS27,42,FALSE)),"0",VLOOKUP(D13,'2019年7月工资表'!D13:AS27,42,FALSE))</f>
        <v>0</v>
      </c>
      <c r="AU13" s="21">
        <f t="shared" si="7"/>
        <v>0</v>
      </c>
      <c r="AV13" s="21"/>
      <c r="AW13" s="21">
        <f t="shared" si="8"/>
        <v>0</v>
      </c>
      <c r="AX13" s="15"/>
    </row>
    <row r="14" spans="1:50" s="10" customFormat="1" ht="23.25" customHeight="1">
      <c r="A14" s="15">
        <v>11</v>
      </c>
      <c r="B14" s="16" t="s">
        <v>66</v>
      </c>
      <c r="C14" s="15"/>
      <c r="D14" s="15"/>
      <c r="E14" s="16"/>
      <c r="F14" s="15"/>
      <c r="G14" s="15"/>
      <c r="H14" s="15"/>
      <c r="I14" s="15"/>
      <c r="J14" s="15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>
        <f t="shared" si="9"/>
      </c>
      <c r="U14" s="21">
        <f t="shared" si="10"/>
      </c>
      <c r="V14" s="24">
        <f t="shared" si="1"/>
        <v>0</v>
      </c>
      <c r="W14" s="21"/>
      <c r="X14" s="21"/>
      <c r="Y14" s="21"/>
      <c r="Z14" s="21">
        <f t="shared" si="2"/>
        <v>0</v>
      </c>
      <c r="AA14" s="21"/>
      <c r="AB14" s="21"/>
      <c r="AC14" s="21"/>
      <c r="AD14" s="21"/>
      <c r="AE14" s="21">
        <f t="shared" si="3"/>
        <v>0</v>
      </c>
      <c r="AF14" s="21"/>
      <c r="AG14" s="21"/>
      <c r="AH14" s="21"/>
      <c r="AI14" s="21">
        <f t="shared" si="4"/>
        <v>0</v>
      </c>
      <c r="AJ14" s="21"/>
      <c r="AK14" s="21"/>
      <c r="AL14" s="21"/>
      <c r="AM14" s="21"/>
      <c r="AN14" s="21"/>
      <c r="AO14" s="21">
        <f t="shared" si="5"/>
        <v>0</v>
      </c>
      <c r="AP14" s="21">
        <f t="shared" si="6"/>
        <v>0</v>
      </c>
      <c r="AQ14" s="21" t="str">
        <f>IF(ISERROR(AP14+VLOOKUP(D14,'2019年7月工资表'!D14:AQ28,40,FALSE)),"0",AP14+VLOOKUP(D14,'2019年7月工资表'!D14:AQ28,40,FALSE))</f>
        <v>0</v>
      </c>
      <c r="AR14" s="21">
        <f t="shared" si="11"/>
        <v>0</v>
      </c>
      <c r="AS14" s="24">
        <f>ROUND(MAX((AQ14-5000*9)*{0.03,0.1,0.2,0.25,0.3,0.35,0.45}-{0,2520,16920,31920,52920,85920,181920},0),2)</f>
        <v>0</v>
      </c>
      <c r="AT14" s="24" t="str">
        <f>IF(ISERROR(VLOOKUP(D14,'2019年7月工资表'!D14:AS28,42,FALSE)),"0",VLOOKUP(D14,'2019年7月工资表'!D14:AS28,42,FALSE))</f>
        <v>0</v>
      </c>
      <c r="AU14" s="21">
        <f t="shared" si="7"/>
        <v>0</v>
      </c>
      <c r="AV14" s="21"/>
      <c r="AW14" s="21">
        <f t="shared" si="8"/>
        <v>0</v>
      </c>
      <c r="AX14" s="15"/>
    </row>
    <row r="15" spans="1:50" s="10" customFormat="1" ht="23.25" customHeight="1">
      <c r="A15" s="15">
        <v>12</v>
      </c>
      <c r="B15" s="16" t="s">
        <v>67</v>
      </c>
      <c r="C15" s="15"/>
      <c r="D15" s="15"/>
      <c r="E15" s="16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>
        <f t="shared" si="9"/>
      </c>
      <c r="U15" s="21">
        <f t="shared" si="10"/>
      </c>
      <c r="V15" s="24">
        <f t="shared" si="1"/>
        <v>0</v>
      </c>
      <c r="W15" s="21"/>
      <c r="X15" s="21"/>
      <c r="Y15" s="21"/>
      <c r="Z15" s="21">
        <f t="shared" si="2"/>
        <v>0</v>
      </c>
      <c r="AA15" s="21"/>
      <c r="AB15" s="21"/>
      <c r="AC15" s="21"/>
      <c r="AD15" s="21"/>
      <c r="AE15" s="21">
        <f t="shared" si="3"/>
        <v>0</v>
      </c>
      <c r="AF15" s="21"/>
      <c r="AG15" s="21"/>
      <c r="AH15" s="21"/>
      <c r="AI15" s="21">
        <f t="shared" si="4"/>
        <v>0</v>
      </c>
      <c r="AJ15" s="21"/>
      <c r="AK15" s="21"/>
      <c r="AL15" s="21"/>
      <c r="AM15" s="21"/>
      <c r="AN15" s="21"/>
      <c r="AO15" s="21">
        <f t="shared" si="5"/>
        <v>0</v>
      </c>
      <c r="AP15" s="21">
        <f t="shared" si="6"/>
        <v>0</v>
      </c>
      <c r="AQ15" s="21" t="str">
        <f>IF(ISERROR(AP15+VLOOKUP(D15,'2019年7月工资表'!D15:AQ29,40,FALSE)),"0",AP15+VLOOKUP(D15,'2019年7月工资表'!D15:AQ29,40,FALSE))</f>
        <v>0</v>
      </c>
      <c r="AR15" s="21">
        <f t="shared" si="11"/>
        <v>0</v>
      </c>
      <c r="AS15" s="24">
        <f>ROUND(MAX((AQ15-5000*9)*{0.03,0.1,0.2,0.25,0.3,0.35,0.45}-{0,2520,16920,31920,52920,85920,181920},0),2)</f>
        <v>0</v>
      </c>
      <c r="AT15" s="24" t="str">
        <f>IF(ISERROR(VLOOKUP(D15,'2019年7月工资表'!D15:AS29,42,FALSE)),"0",VLOOKUP(D15,'2019年7月工资表'!D15:AS29,42,FALSE))</f>
        <v>0</v>
      </c>
      <c r="AU15" s="21">
        <f t="shared" si="7"/>
        <v>0</v>
      </c>
      <c r="AV15" s="21"/>
      <c r="AW15" s="21">
        <f t="shared" si="8"/>
        <v>0</v>
      </c>
      <c r="AX15" s="15"/>
    </row>
    <row r="16" spans="1:50" s="10" customFormat="1" ht="23.25" customHeight="1">
      <c r="A16" s="15">
        <v>13</v>
      </c>
      <c r="B16" s="16" t="s">
        <v>68</v>
      </c>
      <c r="C16" s="15"/>
      <c r="D16" s="15"/>
      <c r="E16" s="16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>
        <f t="shared" si="9"/>
      </c>
      <c r="U16" s="21">
        <f t="shared" si="10"/>
      </c>
      <c r="V16" s="24">
        <f t="shared" si="1"/>
        <v>0</v>
      </c>
      <c r="W16" s="21"/>
      <c r="X16" s="21"/>
      <c r="Y16" s="21"/>
      <c r="Z16" s="21">
        <f t="shared" si="2"/>
        <v>0</v>
      </c>
      <c r="AA16" s="21"/>
      <c r="AB16" s="21"/>
      <c r="AC16" s="21"/>
      <c r="AD16" s="21"/>
      <c r="AE16" s="21">
        <f t="shared" si="3"/>
        <v>0</v>
      </c>
      <c r="AF16" s="21"/>
      <c r="AG16" s="21"/>
      <c r="AH16" s="21"/>
      <c r="AI16" s="21">
        <f t="shared" si="4"/>
        <v>0</v>
      </c>
      <c r="AJ16" s="21"/>
      <c r="AK16" s="21"/>
      <c r="AL16" s="21"/>
      <c r="AM16" s="21"/>
      <c r="AN16" s="21"/>
      <c r="AO16" s="21">
        <f t="shared" si="5"/>
        <v>0</v>
      </c>
      <c r="AP16" s="21">
        <f t="shared" si="6"/>
        <v>0</v>
      </c>
      <c r="AQ16" s="21" t="str">
        <f>IF(ISERROR(AP16+VLOOKUP(D16,'2019年7月工资表'!D16:AQ30,40,FALSE)),"0",AP16+VLOOKUP(D16,'2019年7月工资表'!D16:AQ30,40,FALSE))</f>
        <v>0</v>
      </c>
      <c r="AR16" s="21">
        <f t="shared" si="11"/>
        <v>0</v>
      </c>
      <c r="AS16" s="24">
        <f>ROUND(MAX((AQ16-5000*9)*{0.03,0.1,0.2,0.25,0.3,0.35,0.45}-{0,2520,16920,31920,52920,85920,181920},0),2)</f>
        <v>0</v>
      </c>
      <c r="AT16" s="24" t="str">
        <f>IF(ISERROR(VLOOKUP(D16,'2019年7月工资表'!D16:AS30,42,FALSE)),"0",VLOOKUP(D16,'2019年7月工资表'!D16:AS30,42,FALSE))</f>
        <v>0</v>
      </c>
      <c r="AU16" s="21">
        <f t="shared" si="7"/>
        <v>0</v>
      </c>
      <c r="AV16" s="21"/>
      <c r="AW16" s="21">
        <f t="shared" si="8"/>
        <v>0</v>
      </c>
      <c r="AX16" s="15"/>
    </row>
    <row r="17" spans="1:50" s="10" customFormat="1" ht="23.25" customHeight="1">
      <c r="A17" s="15">
        <v>14</v>
      </c>
      <c r="B17" s="16" t="s">
        <v>69</v>
      </c>
      <c r="C17" s="15"/>
      <c r="D17" s="15"/>
      <c r="E17" s="16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>
        <f t="shared" si="9"/>
      </c>
      <c r="U17" s="21">
        <f t="shared" si="10"/>
      </c>
      <c r="V17" s="24">
        <f t="shared" si="1"/>
        <v>0</v>
      </c>
      <c r="W17" s="21"/>
      <c r="X17" s="21"/>
      <c r="Y17" s="21"/>
      <c r="Z17" s="21">
        <f t="shared" si="2"/>
        <v>0</v>
      </c>
      <c r="AA17" s="21"/>
      <c r="AB17" s="21"/>
      <c r="AC17" s="21"/>
      <c r="AD17" s="21"/>
      <c r="AE17" s="21">
        <f t="shared" si="3"/>
        <v>0</v>
      </c>
      <c r="AF17" s="21"/>
      <c r="AG17" s="21"/>
      <c r="AH17" s="21"/>
      <c r="AI17" s="21">
        <f t="shared" si="4"/>
        <v>0</v>
      </c>
      <c r="AJ17" s="21"/>
      <c r="AK17" s="21"/>
      <c r="AL17" s="21"/>
      <c r="AM17" s="21"/>
      <c r="AN17" s="21"/>
      <c r="AO17" s="21">
        <f t="shared" si="5"/>
        <v>0</v>
      </c>
      <c r="AP17" s="21">
        <f t="shared" si="6"/>
        <v>0</v>
      </c>
      <c r="AQ17" s="21" t="str">
        <f>IF(ISERROR(AP17+VLOOKUP(D17,'2019年7月工资表'!D17:AQ31,40,FALSE)),"0",AP17+VLOOKUP(D17,'2019年7月工资表'!D17:AQ31,40,FALSE))</f>
        <v>0</v>
      </c>
      <c r="AR17" s="21">
        <f t="shared" si="11"/>
        <v>0</v>
      </c>
      <c r="AS17" s="24">
        <f>ROUND(MAX((AQ17-5000*9)*{0.03,0.1,0.2,0.25,0.3,0.35,0.45}-{0,2520,16920,31920,52920,85920,181920},0),2)</f>
        <v>0</v>
      </c>
      <c r="AT17" s="24" t="str">
        <f>IF(ISERROR(VLOOKUP(D17,'2019年7月工资表'!D17:AS31,42,FALSE)),"0",VLOOKUP(D17,'2019年7月工资表'!D17:AS31,42,FALSE))</f>
        <v>0</v>
      </c>
      <c r="AU17" s="21">
        <f t="shared" si="7"/>
        <v>0</v>
      </c>
      <c r="AV17" s="21"/>
      <c r="AW17" s="21">
        <f t="shared" si="8"/>
        <v>0</v>
      </c>
      <c r="AX17" s="15"/>
    </row>
    <row r="18" spans="1:50" s="10" customFormat="1" ht="23.25" customHeight="1">
      <c r="A18" s="15">
        <v>15</v>
      </c>
      <c r="B18" s="16" t="s">
        <v>70</v>
      </c>
      <c r="C18" s="15"/>
      <c r="D18" s="15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>
        <f t="shared" si="9"/>
      </c>
      <c r="U18" s="21">
        <f t="shared" si="10"/>
      </c>
      <c r="V18" s="24">
        <f t="shared" si="1"/>
        <v>0</v>
      </c>
      <c r="W18" s="21"/>
      <c r="X18" s="21"/>
      <c r="Y18" s="21"/>
      <c r="Z18" s="21">
        <f t="shared" si="2"/>
        <v>0</v>
      </c>
      <c r="AA18" s="21"/>
      <c r="AB18" s="21"/>
      <c r="AC18" s="21"/>
      <c r="AD18" s="21"/>
      <c r="AE18" s="21">
        <f t="shared" si="3"/>
        <v>0</v>
      </c>
      <c r="AF18" s="21"/>
      <c r="AG18" s="21"/>
      <c r="AH18" s="21"/>
      <c r="AI18" s="21">
        <f t="shared" si="4"/>
        <v>0</v>
      </c>
      <c r="AJ18" s="21"/>
      <c r="AK18" s="21"/>
      <c r="AL18" s="21"/>
      <c r="AM18" s="21"/>
      <c r="AN18" s="21"/>
      <c r="AO18" s="21">
        <f t="shared" si="5"/>
        <v>0</v>
      </c>
      <c r="AP18" s="21">
        <f t="shared" si="6"/>
        <v>0</v>
      </c>
      <c r="AQ18" s="21" t="str">
        <f>IF(ISERROR(AP18+VLOOKUP(D18,'2019年7月工资表'!D18:AQ32,40,FALSE)),"0",AP18+VLOOKUP(D18,'2019年7月工资表'!D18:AQ32,40,FALSE))</f>
        <v>0</v>
      </c>
      <c r="AR18" s="21">
        <f t="shared" si="11"/>
        <v>0</v>
      </c>
      <c r="AS18" s="24">
        <f>ROUND(MAX((AQ18-5000*9)*{0.03,0.1,0.2,0.25,0.3,0.35,0.45}-{0,2520,16920,31920,52920,85920,181920},0),2)</f>
        <v>0</v>
      </c>
      <c r="AT18" s="24" t="str">
        <f>IF(ISERROR(VLOOKUP(D18,'2019年7月工资表'!D18:AS32,42,FALSE)),"0",VLOOKUP(D18,'2019年7月工资表'!D18:AS32,42,FALSE))</f>
        <v>0</v>
      </c>
      <c r="AU18" s="21">
        <f t="shared" si="7"/>
        <v>0</v>
      </c>
      <c r="AV18" s="21"/>
      <c r="AW18" s="21">
        <f t="shared" si="8"/>
        <v>0</v>
      </c>
      <c r="AX18" s="15"/>
    </row>
    <row r="19" spans="1:50" s="10" customFormat="1" ht="23.25" customHeight="1">
      <c r="A19" s="17" t="s">
        <v>31</v>
      </c>
      <c r="B19" s="18"/>
      <c r="C19" s="18"/>
      <c r="D19" s="19"/>
      <c r="E19" s="16"/>
      <c r="F19" s="15">
        <f aca="true" t="shared" si="12" ref="F19:AW19">SUM(F4:F18)</f>
        <v>22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15"/>
    </row>
    <row r="20" spans="1:50" s="9" customFormat="1" ht="96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0"/>
    </row>
    <row r="21" spans="11:49" s="9" customFormat="1" ht="1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mergeCells count="25">
    <mergeCell ref="A1:AX1"/>
    <mergeCell ref="K2:S2"/>
    <mergeCell ref="T2:V2"/>
    <mergeCell ref="W2:Z2"/>
    <mergeCell ref="AA2:AE2"/>
    <mergeCell ref="AF2:AI2"/>
    <mergeCell ref="AJ2:AO2"/>
    <mergeCell ref="AP2:AQ2"/>
    <mergeCell ref="AR2:AT2"/>
    <mergeCell ref="A19:D19"/>
    <mergeCell ref="A20:AX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U2:AU3"/>
    <mergeCell ref="AV2:AV3"/>
    <mergeCell ref="AW2:AW3"/>
    <mergeCell ref="AX2:AX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烟然</cp:lastModifiedBy>
  <dcterms:created xsi:type="dcterms:W3CDTF">2006-09-16T00:00:00Z</dcterms:created>
  <dcterms:modified xsi:type="dcterms:W3CDTF">2020-12-10T08:25:14Z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ProductBuildV">
    <vt:lpwstr>2052-10.1.0.7565</vt:lpwstr>
  </property>
  <property fmtid="{D5CDD505-2E9C-101B-9397-08002B2CF9AE}" pid="5" name="KSOReadingLayo">
    <vt:bool>false</vt:bool>
  </property>
</Properties>
</file>